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CQAG\RTI\"/>
    </mc:Choice>
  </mc:AlternateContent>
  <xr:revisionPtr revIDLastSave="0" documentId="13_ncr:1_{DC547E69-76EB-4FDA-8120-374203F78E0F}" xr6:coauthVersionLast="45" xr6:coauthVersionMax="45" xr10:uidLastSave="{00000000-0000-0000-0000-000000000000}"/>
  <bookViews>
    <workbookView xWindow="58980" yWindow="315" windowWidth="25890" windowHeight="12690" tabRatio="894" xr2:uid="{25AF05DA-62FC-4D93-BEE2-B918105AB249}"/>
  </bookViews>
  <sheets>
    <sheet name="Charts" sheetId="3" r:id="rId1"/>
    <sheet name="Summary" sheetId="5" r:id="rId2"/>
    <sheet name="HoleSize" sheetId="11" r:id="rId3"/>
    <sheet name="Rehab" sheetId="10" r:id="rId4"/>
    <sheet name="Estimates" sheetId="2" r:id="rId5"/>
    <sheet name="True Cost" sheetId="18" r:id="rId6"/>
    <sheet name="Eden Cornwall" sheetId="4" r:id="rId7"/>
    <sheet name="Eden Anglesea" sheetId="16" r:id="rId8"/>
    <sheet name="Damage" sheetId="14" r:id="rId9"/>
    <sheet name="CPI" sheetId="9" r:id="rId10"/>
    <sheet name="Disclaimer" sheetId="17" r:id="rId11"/>
    <sheet name="DOGIT" sheetId="15" r:id="rId12"/>
    <sheet name="Cordell2017" sheetId="8" r:id="rId1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8" l="1"/>
  <c r="E25" i="18"/>
  <c r="F25" i="18" s="1"/>
  <c r="D24" i="18"/>
  <c r="AB72" i="2" l="1"/>
  <c r="AB73" i="2"/>
  <c r="AB74" i="2"/>
  <c r="AB75" i="2"/>
  <c r="AB76" i="2"/>
  <c r="AB77" i="2"/>
  <c r="AB78" i="2"/>
  <c r="AB79" i="2"/>
  <c r="AB80" i="2"/>
  <c r="AB81" i="2"/>
  <c r="AB82" i="2"/>
  <c r="AB83" i="2"/>
  <c r="AB84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52" i="2"/>
  <c r="D5" i="18"/>
  <c r="L75" i="2"/>
  <c r="D16" i="18"/>
  <c r="D18" i="18" s="1"/>
  <c r="D17" i="18"/>
  <c r="AA84" i="2"/>
  <c r="AA75" i="2"/>
  <c r="AA76" i="2" s="1"/>
  <c r="AA77" i="2" s="1"/>
  <c r="AA78" i="2" s="1"/>
  <c r="AA79" i="2" s="1"/>
  <c r="AA80" i="2" s="1"/>
  <c r="AA81" i="2" s="1"/>
  <c r="AA82" i="2" s="1"/>
  <c r="AA83" i="2" s="1"/>
  <c r="Z85" i="2"/>
  <c r="AC83" i="2"/>
  <c r="AC84" i="2"/>
  <c r="AC81" i="2"/>
  <c r="AC82" i="2"/>
  <c r="AC78" i="2"/>
  <c r="AC79" i="2"/>
  <c r="AC80" i="2" s="1"/>
  <c r="AC75" i="2"/>
  <c r="AC76" i="2" s="1"/>
  <c r="AC77" i="2" s="1"/>
  <c r="G7" i="18"/>
  <c r="D4" i="18"/>
  <c r="E74" i="2"/>
  <c r="C20" i="18" l="1"/>
  <c r="F7" i="18"/>
  <c r="E7" i="18" s="1"/>
  <c r="N58" i="4"/>
  <c r="N55" i="4"/>
  <c r="N53" i="4"/>
  <c r="N50" i="4"/>
  <c r="N48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24" i="4"/>
  <c r="AA56" i="2" l="1"/>
  <c r="AA57" i="2" s="1"/>
  <c r="AA58" i="2" s="1"/>
  <c r="AA59" i="2" s="1"/>
  <c r="AA60" i="2" s="1"/>
  <c r="AA61" i="2" s="1"/>
  <c r="AA62" i="2" s="1"/>
  <c r="AA63" i="2" s="1"/>
  <c r="AA64" i="2" s="1"/>
  <c r="AA65" i="2" s="1"/>
  <c r="AA66" i="2" s="1"/>
  <c r="AA67" i="2" s="1"/>
  <c r="AA68" i="2" s="1"/>
  <c r="AA69" i="2" s="1"/>
  <c r="AA70" i="2" s="1"/>
  <c r="AA71" i="2" s="1"/>
  <c r="AA72" i="2" s="1"/>
  <c r="AA73" i="2" s="1"/>
  <c r="AA74" i="2" s="1"/>
  <c r="AC53" i="2"/>
  <c r="AC54" i="2" s="1"/>
  <c r="AC55" i="2" s="1"/>
  <c r="AC56" i="2" s="1"/>
  <c r="AC57" i="2" s="1"/>
  <c r="AC58" i="2" s="1"/>
  <c r="AC59" i="2" s="1"/>
  <c r="AC60" i="2" s="1"/>
  <c r="AC61" i="2" s="1"/>
  <c r="AC62" i="2" s="1"/>
  <c r="AC63" i="2" s="1"/>
  <c r="AC64" i="2" s="1"/>
  <c r="AC65" i="2" s="1"/>
  <c r="AC66" i="2" s="1"/>
  <c r="AC67" i="2" s="1"/>
  <c r="AC68" i="2" s="1"/>
  <c r="AC69" i="2" s="1"/>
  <c r="AC70" i="2" s="1"/>
  <c r="AC71" i="2" s="1"/>
  <c r="AC72" i="2" s="1"/>
  <c r="AC73" i="2" s="1"/>
  <c r="AC74" i="2" s="1"/>
  <c r="Y55" i="2"/>
  <c r="Y56" i="2" s="1"/>
  <c r="Y57" i="2" s="1"/>
  <c r="Y58" i="2" s="1"/>
  <c r="Y59" i="2" s="1"/>
  <c r="Y60" i="2" s="1"/>
  <c r="Y61" i="2" s="1"/>
  <c r="Y62" i="2" s="1"/>
  <c r="Y63" i="2" s="1"/>
  <c r="Y64" i="2" s="1"/>
  <c r="Y65" i="2" s="1"/>
  <c r="Y66" i="2" s="1"/>
  <c r="Y67" i="2" s="1"/>
  <c r="Y68" i="2" s="1"/>
  <c r="Y69" i="2" s="1"/>
  <c r="Y70" i="2" s="1"/>
  <c r="Y71" i="2" s="1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55" i="2"/>
  <c r="U43" i="10"/>
  <c r="N45" i="10" l="1"/>
  <c r="N46" i="10" s="1"/>
  <c r="N47" i="10" s="1"/>
  <c r="N48" i="10" s="1"/>
  <c r="N49" i="10" s="1"/>
  <c r="N50" i="10" s="1"/>
  <c r="N51" i="10" s="1"/>
  <c r="N52" i="10" s="1"/>
  <c r="N53" i="10" s="1"/>
  <c r="N54" i="10" s="1"/>
  <c r="N55" i="10" s="1"/>
  <c r="N56" i="10" s="1"/>
  <c r="N57" i="10" s="1"/>
  <c r="N58" i="10" s="1"/>
  <c r="N59" i="10" s="1"/>
  <c r="N60" i="10" s="1"/>
  <c r="N61" i="10" s="1"/>
  <c r="N62" i="10" s="1"/>
  <c r="N63" i="10" s="1"/>
  <c r="N64" i="10" s="1"/>
  <c r="K45" i="10"/>
  <c r="K46" i="10" s="1"/>
  <c r="K47" i="10" s="1"/>
  <c r="K48" i="10" s="1"/>
  <c r="K49" i="10" s="1"/>
  <c r="K50" i="10" s="1"/>
  <c r="K51" i="10" s="1"/>
  <c r="K52" i="10" s="1"/>
  <c r="K53" i="10" s="1"/>
  <c r="K54" i="10" s="1"/>
  <c r="K55" i="10" s="1"/>
  <c r="K56" i="10" s="1"/>
  <c r="K57" i="10" s="1"/>
  <c r="K58" i="10" s="1"/>
  <c r="K59" i="10" s="1"/>
  <c r="K60" i="10" s="1"/>
  <c r="K61" i="10" s="1"/>
  <c r="K62" i="10" s="1"/>
  <c r="K63" i="10" s="1"/>
  <c r="K64" i="10" s="1"/>
  <c r="F6" i="4" l="1"/>
  <c r="F14" i="4" s="1"/>
  <c r="C31" i="2"/>
  <c r="C32" i="2" s="1"/>
  <c r="C30" i="2"/>
  <c r="G68" i="2" l="1"/>
  <c r="G61" i="2"/>
  <c r="G57" i="2"/>
  <c r="G53" i="2"/>
  <c r="G65" i="2"/>
  <c r="G69" i="2"/>
  <c r="G54" i="2"/>
  <c r="G58" i="2"/>
  <c r="G62" i="2"/>
  <c r="G66" i="2"/>
  <c r="G70" i="2"/>
  <c r="G55" i="2"/>
  <c r="G59" i="2"/>
  <c r="G63" i="2"/>
  <c r="G67" i="2"/>
  <c r="G71" i="2"/>
  <c r="G56" i="2"/>
  <c r="G60" i="2"/>
  <c r="G64" i="2"/>
  <c r="D32" i="2"/>
  <c r="H75" i="2" l="1"/>
  <c r="W8" i="9" l="1"/>
  <c r="V8" i="9" s="1"/>
  <c r="U8" i="9" s="1"/>
  <c r="T8" i="9" s="1"/>
  <c r="S8" i="9" s="1"/>
  <c r="R8" i="9" s="1"/>
  <c r="Q8" i="9" s="1"/>
  <c r="P8" i="9" s="1"/>
  <c r="O8" i="9" s="1"/>
  <c r="N8" i="9" s="1"/>
  <c r="M8" i="9" s="1"/>
  <c r="L8" i="9" s="1"/>
  <c r="K8" i="9" s="1"/>
  <c r="J8" i="9" s="1"/>
  <c r="I8" i="9" s="1"/>
  <c r="H8" i="9" s="1"/>
  <c r="X8" i="9"/>
  <c r="Y8" i="9"/>
  <c r="E76" i="2" l="1"/>
  <c r="D76" i="2"/>
  <c r="E75" i="2"/>
  <c r="D75" i="2"/>
  <c r="J71" i="2" l="1"/>
  <c r="C38" i="16" l="1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37" i="16"/>
  <c r="A38" i="16"/>
  <c r="A39" i="16"/>
  <c r="A40" i="16"/>
  <c r="A41" i="16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B53" i="16"/>
  <c r="B47" i="16"/>
  <c r="B48" i="16"/>
  <c r="B49" i="16"/>
  <c r="B50" i="16"/>
  <c r="B51" i="16" s="1"/>
  <c r="B52" i="16" s="1"/>
  <c r="B38" i="16"/>
  <c r="B39" i="16"/>
  <c r="B40" i="16"/>
  <c r="B41" i="16"/>
  <c r="B42" i="16" s="1"/>
  <c r="B43" i="16" s="1"/>
  <c r="B44" i="16" s="1"/>
  <c r="B45" i="16" s="1"/>
  <c r="B46" i="16" s="1"/>
  <c r="B37" i="16"/>
  <c r="A37" i="16"/>
  <c r="A30" i="16"/>
  <c r="A31" i="16" s="1"/>
  <c r="J29" i="16"/>
  <c r="J30" i="16"/>
  <c r="J31" i="16"/>
  <c r="G30" i="16"/>
  <c r="G31" i="16" s="1"/>
  <c r="F30" i="16"/>
  <c r="F31" i="16"/>
  <c r="D31" i="16"/>
  <c r="C31" i="16"/>
  <c r="B31" i="16"/>
  <c r="B30" i="16"/>
  <c r="B29" i="16"/>
  <c r="A29" i="16"/>
  <c r="J25" i="16"/>
  <c r="J26" i="16"/>
  <c r="J27" i="16"/>
  <c r="J28" i="16"/>
  <c r="B28" i="16"/>
  <c r="B25" i="16"/>
  <c r="B26" i="16"/>
  <c r="B27" i="16"/>
  <c r="A27" i="16"/>
  <c r="A28" i="16" s="1"/>
  <c r="A25" i="16"/>
  <c r="A26" i="16"/>
  <c r="J64" i="5" l="1"/>
  <c r="J65" i="5"/>
  <c r="L65" i="5"/>
  <c r="L64" i="5"/>
  <c r="K65" i="5"/>
  <c r="K64" i="5"/>
  <c r="F8" i="4" l="1"/>
  <c r="A56" i="4"/>
  <c r="A57" i="4" s="1"/>
  <c r="A58" i="4" s="1"/>
  <c r="A19" i="16"/>
  <c r="A20" i="16" s="1"/>
  <c r="A21" i="16" s="1"/>
  <c r="A22" i="16" s="1"/>
  <c r="A23" i="16" s="1"/>
  <c r="A24" i="16" s="1"/>
  <c r="F9" i="16"/>
  <c r="G9" i="16" s="1"/>
  <c r="C4" i="16"/>
  <c r="A10" i="16"/>
  <c r="A11" i="16" s="1"/>
  <c r="A12" i="16" s="1"/>
  <c r="A13" i="16" s="1"/>
  <c r="A14" i="16" s="1"/>
  <c r="A15" i="16" s="1"/>
  <c r="A16" i="16" s="1"/>
  <c r="A17" i="16" s="1"/>
  <c r="A18" i="16" s="1"/>
  <c r="N10" i="16"/>
  <c r="N11" i="16" s="1"/>
  <c r="N12" i="16" s="1"/>
  <c r="N13" i="16" s="1"/>
  <c r="N14" i="16" s="1"/>
  <c r="N15" i="16" s="1"/>
  <c r="N16" i="16" s="1"/>
  <c r="J11" i="16"/>
  <c r="J12" i="16" s="1"/>
  <c r="J13" i="16" s="1"/>
  <c r="J14" i="16" s="1"/>
  <c r="J15" i="16" s="1"/>
  <c r="J16" i="16" s="1"/>
  <c r="J17" i="16" s="1"/>
  <c r="J18" i="16" s="1"/>
  <c r="J19" i="16" s="1"/>
  <c r="J20" i="16" s="1"/>
  <c r="J21" i="16" s="1"/>
  <c r="J22" i="16" s="1"/>
  <c r="J23" i="16" s="1"/>
  <c r="J24" i="16" s="1"/>
  <c r="J10" i="16"/>
  <c r="C10" i="16"/>
  <c r="D10" i="16" s="1"/>
  <c r="B10" i="16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S26" i="4"/>
  <c r="B43" i="4" s="1"/>
  <c r="C16" i="4"/>
  <c r="G14" i="9"/>
  <c r="G5" i="9"/>
  <c r="I13" i="9"/>
  <c r="J13" i="9" s="1"/>
  <c r="K13" i="9" s="1"/>
  <c r="L13" i="9" s="1"/>
  <c r="M13" i="9" s="1"/>
  <c r="N13" i="9" s="1"/>
  <c r="O13" i="9" s="1"/>
  <c r="P13" i="9" s="1"/>
  <c r="Q13" i="9" s="1"/>
  <c r="R13" i="9" s="1"/>
  <c r="S13" i="9" s="1"/>
  <c r="D36" i="5"/>
  <c r="F10" i="16" l="1"/>
  <c r="G10" i="16"/>
  <c r="C11" i="16"/>
  <c r="C12" i="16" l="1"/>
  <c r="F11" i="16"/>
  <c r="G11" i="16" s="1"/>
  <c r="D11" i="16"/>
  <c r="D12" i="16" s="1"/>
  <c r="C13" i="16" l="1"/>
  <c r="F12" i="16"/>
  <c r="G12" i="16" s="1"/>
  <c r="B78" i="2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C14" i="16" l="1"/>
  <c r="F13" i="16"/>
  <c r="G13" i="16" s="1"/>
  <c r="D13" i="16"/>
  <c r="D14" i="16" s="1"/>
  <c r="C24" i="4"/>
  <c r="F24" i="4" s="1"/>
  <c r="A25" i="4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C15" i="16" l="1"/>
  <c r="F14" i="16"/>
  <c r="G14" i="16" s="1"/>
  <c r="B34" i="2"/>
  <c r="B35" i="2" s="1"/>
  <c r="C40" i="2" s="1"/>
  <c r="E41" i="2" s="1"/>
  <c r="D37" i="2"/>
  <c r="D38" i="2" s="1"/>
  <c r="C38" i="2"/>
  <c r="E42" i="2"/>
  <c r="B111" i="2"/>
  <c r="B112" i="2" s="1"/>
  <c r="G99" i="2"/>
  <c r="G103" i="2"/>
  <c r="G98" i="2"/>
  <c r="G101" i="2"/>
  <c r="G100" i="2"/>
  <c r="C16" i="16" l="1"/>
  <c r="F15" i="16"/>
  <c r="G15" i="16" s="1"/>
  <c r="D15" i="16"/>
  <c r="D16" i="16" s="1"/>
  <c r="G102" i="2"/>
  <c r="G104" i="2" s="1"/>
  <c r="G105" i="2" s="1"/>
  <c r="C39" i="2"/>
  <c r="D39" i="2"/>
  <c r="D40" i="2"/>
  <c r="C17" i="16" l="1"/>
  <c r="F16" i="16"/>
  <c r="G16" i="16" s="1"/>
  <c r="D9" i="2"/>
  <c r="C18" i="16" l="1"/>
  <c r="F17" i="16"/>
  <c r="G17" i="16" s="1"/>
  <c r="D17" i="16"/>
  <c r="D18" i="16" s="1"/>
  <c r="C19" i="16" l="1"/>
  <c r="F18" i="16"/>
  <c r="G18" i="16" s="1"/>
  <c r="C40" i="11"/>
  <c r="C41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C3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B37" i="11"/>
  <c r="C20" i="16" l="1"/>
  <c r="F19" i="16"/>
  <c r="G19" i="16" s="1"/>
  <c r="D19" i="16"/>
  <c r="D20" i="16" s="1"/>
  <c r="D42" i="5"/>
  <c r="F41" i="5" s="1"/>
  <c r="C21" i="16" l="1"/>
  <c r="F20" i="16"/>
  <c r="G20" i="16" s="1"/>
  <c r="D25" i="10"/>
  <c r="D11" i="5" s="1"/>
  <c r="C22" i="16" l="1"/>
  <c r="F21" i="16"/>
  <c r="G21" i="16" s="1"/>
  <c r="D21" i="16"/>
  <c r="D22" i="16" s="1"/>
  <c r="F42" i="5"/>
  <c r="C23" i="16" l="1"/>
  <c r="F22" i="16"/>
  <c r="G22" i="16" s="1"/>
  <c r="C24" i="16" l="1"/>
  <c r="F23" i="16"/>
  <c r="G23" i="16" s="1"/>
  <c r="D23" i="16"/>
  <c r="D24" i="16" s="1"/>
  <c r="J18" i="2"/>
  <c r="J19" i="2"/>
  <c r="J20" i="2"/>
  <c r="J21" i="2"/>
  <c r="J17" i="2"/>
  <c r="I19" i="2"/>
  <c r="I20" i="2"/>
  <c r="I21" i="2"/>
  <c r="F23" i="2"/>
  <c r="N107" i="10"/>
  <c r="D26" i="10"/>
  <c r="Y7" i="9"/>
  <c r="X7" i="9" s="1"/>
  <c r="W7" i="9" s="1"/>
  <c r="V7" i="9" s="1"/>
  <c r="U7" i="9" s="1"/>
  <c r="T7" i="9" s="1"/>
  <c r="S7" i="9" s="1"/>
  <c r="R7" i="9" s="1"/>
  <c r="Q7" i="9" s="1"/>
  <c r="P7" i="9" s="1"/>
  <c r="O7" i="9" s="1"/>
  <c r="N7" i="9" s="1"/>
  <c r="M7" i="9" s="1"/>
  <c r="L7" i="9" s="1"/>
  <c r="K7" i="9" s="1"/>
  <c r="J7" i="9" s="1"/>
  <c r="I7" i="9" s="1"/>
  <c r="H7" i="9" s="1"/>
  <c r="F37" i="11"/>
  <c r="G14" i="11"/>
  <c r="G37" i="11" s="1"/>
  <c r="G36" i="11"/>
  <c r="I6" i="9"/>
  <c r="J6" i="9" s="1"/>
  <c r="B51" i="11"/>
  <c r="D35" i="11"/>
  <c r="D34" i="11"/>
  <c r="E34" i="11" s="1"/>
  <c r="D33" i="11"/>
  <c r="E33" i="11" s="1"/>
  <c r="D32" i="11"/>
  <c r="E32" i="11" s="1"/>
  <c r="D31" i="11"/>
  <c r="E31" i="11" s="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D21" i="11"/>
  <c r="E21" i="11" s="1"/>
  <c r="C16" i="11"/>
  <c r="C37" i="11" s="1"/>
  <c r="B26" i="10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C25" i="16" l="1"/>
  <c r="F24" i="16"/>
  <c r="G24" i="16" s="1"/>
  <c r="K54" i="2"/>
  <c r="J54" i="2"/>
  <c r="V54" i="2"/>
  <c r="K53" i="2"/>
  <c r="J53" i="2"/>
  <c r="V53" i="2"/>
  <c r="K56" i="2"/>
  <c r="J56" i="2"/>
  <c r="V56" i="2"/>
  <c r="K55" i="2"/>
  <c r="J55" i="2"/>
  <c r="V55" i="2"/>
  <c r="K6" i="9"/>
  <c r="M69" i="2"/>
  <c r="M70" i="2"/>
  <c r="D27" i="10"/>
  <c r="E37" i="11"/>
  <c r="C43" i="11" s="1"/>
  <c r="H43" i="11"/>
  <c r="C26" i="16" l="1"/>
  <c r="F25" i="16"/>
  <c r="G25" i="16" s="1"/>
  <c r="D25" i="16"/>
  <c r="D26" i="16" s="1"/>
  <c r="L6" i="9"/>
  <c r="M68" i="2"/>
  <c r="J11" i="10"/>
  <c r="D28" i="10"/>
  <c r="C27" i="16" l="1"/>
  <c r="F26" i="16"/>
  <c r="G26" i="16" s="1"/>
  <c r="J12" i="10"/>
  <c r="J13" i="10" s="1"/>
  <c r="G36" i="5"/>
  <c r="B44" i="4"/>
  <c r="B25" i="4"/>
  <c r="M6" i="9"/>
  <c r="M67" i="2"/>
  <c r="D29" i="10"/>
  <c r="I4" i="9"/>
  <c r="J4" i="9" s="1"/>
  <c r="K4" i="9" s="1"/>
  <c r="L4" i="9" s="1"/>
  <c r="M4" i="9" s="1"/>
  <c r="N4" i="9" s="1"/>
  <c r="O4" i="9" s="1"/>
  <c r="P4" i="9" s="1"/>
  <c r="Q4" i="9" s="1"/>
  <c r="R4" i="9" s="1"/>
  <c r="S4" i="9" s="1"/>
  <c r="T4" i="9" s="1"/>
  <c r="U4" i="9" s="1"/>
  <c r="V4" i="9" s="1"/>
  <c r="W4" i="9" s="1"/>
  <c r="X4" i="9" s="1"/>
  <c r="Y4" i="9" s="1"/>
  <c r="Z4" i="9" s="1"/>
  <c r="AA4" i="9" s="1"/>
  <c r="AB4" i="9" s="1"/>
  <c r="AC4" i="9" s="1"/>
  <c r="AD4" i="9" s="1"/>
  <c r="AE4" i="9" s="1"/>
  <c r="AF4" i="9" s="1"/>
  <c r="AG4" i="9" s="1"/>
  <c r="AH4" i="9" s="1"/>
  <c r="AI4" i="9" s="1"/>
  <c r="AJ4" i="9" s="1"/>
  <c r="AK4" i="9" s="1"/>
  <c r="AL4" i="9" s="1"/>
  <c r="AM4" i="9" s="1"/>
  <c r="AN4" i="9" s="1"/>
  <c r="AO4" i="9" s="1"/>
  <c r="AP4" i="9" s="1"/>
  <c r="D37" i="5" l="1"/>
  <c r="J15" i="10"/>
  <c r="AD14" i="10"/>
  <c r="F27" i="16"/>
  <c r="G27" i="16" s="1"/>
  <c r="C28" i="16"/>
  <c r="D27" i="16"/>
  <c r="D28" i="16" s="1"/>
  <c r="B45" i="4"/>
  <c r="B26" i="4"/>
  <c r="C25" i="4"/>
  <c r="F25" i="4" s="1"/>
  <c r="G25" i="4" s="1"/>
  <c r="N6" i="9"/>
  <c r="M66" i="2"/>
  <c r="D30" i="10"/>
  <c r="E13" i="5" l="1"/>
  <c r="F28" i="10"/>
  <c r="F29" i="10"/>
  <c r="F25" i="10"/>
  <c r="F26" i="10"/>
  <c r="F30" i="10"/>
  <c r="F27" i="10"/>
  <c r="AD15" i="10"/>
  <c r="F28" i="16"/>
  <c r="C29" i="16"/>
  <c r="D29" i="16"/>
  <c r="G28" i="16"/>
  <c r="B27" i="4"/>
  <c r="B46" i="4"/>
  <c r="C26" i="4"/>
  <c r="O6" i="9"/>
  <c r="M65" i="2"/>
  <c r="D31" i="10"/>
  <c r="F31" i="10" s="1"/>
  <c r="E18" i="2"/>
  <c r="E19" i="2" s="1"/>
  <c r="E20" i="2" s="1"/>
  <c r="E21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F29" i="16" l="1"/>
  <c r="G29" i="16" s="1"/>
  <c r="C30" i="16"/>
  <c r="D30" i="16" s="1"/>
  <c r="C27" i="4"/>
  <c r="F27" i="4" s="1"/>
  <c r="F26" i="4"/>
  <c r="G26" i="4" s="1"/>
  <c r="B28" i="4"/>
  <c r="B47" i="4"/>
  <c r="P6" i="9"/>
  <c r="M64" i="2"/>
  <c r="D32" i="10"/>
  <c r="F32" i="10" s="1"/>
  <c r="F10" i="4"/>
  <c r="E10" i="4"/>
  <c r="G27" i="4" l="1"/>
  <c r="B29" i="4"/>
  <c r="C28" i="4"/>
  <c r="B48" i="4"/>
  <c r="Q6" i="9"/>
  <c r="M63" i="2"/>
  <c r="D33" i="10"/>
  <c r="F33" i="10" s="1"/>
  <c r="G18" i="2"/>
  <c r="G19" i="2"/>
  <c r="G20" i="2"/>
  <c r="G21" i="2"/>
  <c r="C29" i="4" l="1"/>
  <c r="F28" i="4"/>
  <c r="G28" i="4" s="1"/>
  <c r="B30" i="4"/>
  <c r="F29" i="4"/>
  <c r="B49" i="4"/>
  <c r="R6" i="9"/>
  <c r="M62" i="2"/>
  <c r="D34" i="10"/>
  <c r="F34" i="10" s="1"/>
  <c r="G22" i="2"/>
  <c r="G29" i="4" l="1"/>
  <c r="B31" i="4"/>
  <c r="B50" i="4"/>
  <c r="C30" i="4"/>
  <c r="S6" i="9"/>
  <c r="M61" i="2"/>
  <c r="D35" i="10"/>
  <c r="F35" i="10" s="1"/>
  <c r="D11" i="10"/>
  <c r="L54" i="2"/>
  <c r="L56" i="2"/>
  <c r="L53" i="2"/>
  <c r="L55" i="2"/>
  <c r="C52" i="11"/>
  <c r="C53" i="11" s="1"/>
  <c r="C54" i="11" s="1"/>
  <c r="G16" i="2"/>
  <c r="D16" i="2"/>
  <c r="D51" i="2" s="1"/>
  <c r="G17" i="2"/>
  <c r="D17" i="2"/>
  <c r="I18" i="2" s="1"/>
  <c r="G14" i="2"/>
  <c r="D14" i="2"/>
  <c r="D49" i="2" s="1"/>
  <c r="G15" i="2"/>
  <c r="D15" i="2"/>
  <c r="D50" i="2" s="1"/>
  <c r="C31" i="4" l="1"/>
  <c r="F31" i="4" s="1"/>
  <c r="J64" i="2"/>
  <c r="V64" i="2"/>
  <c r="V71" i="2"/>
  <c r="J57" i="2"/>
  <c r="V57" i="2"/>
  <c r="J61" i="2"/>
  <c r="V61" i="2"/>
  <c r="K66" i="2"/>
  <c r="N66" i="2" s="1"/>
  <c r="U38" i="10" s="1"/>
  <c r="J66" i="2"/>
  <c r="V66" i="2"/>
  <c r="J67" i="2"/>
  <c r="V67" i="2"/>
  <c r="K65" i="2"/>
  <c r="N65" i="2" s="1"/>
  <c r="U37" i="10" s="1"/>
  <c r="J65" i="2"/>
  <c r="V65" i="2"/>
  <c r="K69" i="2"/>
  <c r="N69" i="2" s="1"/>
  <c r="U41" i="10" s="1"/>
  <c r="J69" i="2"/>
  <c r="V69" i="2"/>
  <c r="K62" i="2"/>
  <c r="N62" i="2" s="1"/>
  <c r="U34" i="10" s="1"/>
  <c r="J62" i="2"/>
  <c r="V62" i="2"/>
  <c r="K58" i="2"/>
  <c r="J58" i="2"/>
  <c r="V58" i="2"/>
  <c r="J68" i="2"/>
  <c r="V68" i="2"/>
  <c r="K63" i="2"/>
  <c r="N63" i="2" s="1"/>
  <c r="U35" i="10" s="1"/>
  <c r="J63" i="2"/>
  <c r="V63" i="2"/>
  <c r="K70" i="2"/>
  <c r="N70" i="2" s="1"/>
  <c r="U42" i="10" s="1"/>
  <c r="J70" i="2"/>
  <c r="V70" i="2"/>
  <c r="K60" i="2"/>
  <c r="J60" i="2"/>
  <c r="V60" i="2"/>
  <c r="K59" i="2"/>
  <c r="J59" i="2"/>
  <c r="V59" i="2"/>
  <c r="B51" i="4"/>
  <c r="F30" i="4"/>
  <c r="G30" i="4" s="1"/>
  <c r="B32" i="4"/>
  <c r="T6" i="9"/>
  <c r="M60" i="2"/>
  <c r="L61" i="2"/>
  <c r="O61" i="2" s="1"/>
  <c r="G33" i="10" s="1"/>
  <c r="K61" i="2"/>
  <c r="N61" i="2" s="1"/>
  <c r="U33" i="10" s="1"/>
  <c r="L71" i="2"/>
  <c r="O71" i="2" s="1"/>
  <c r="K71" i="2"/>
  <c r="N71" i="2" s="1"/>
  <c r="L68" i="2"/>
  <c r="O68" i="2" s="1"/>
  <c r="K68" i="2"/>
  <c r="N68" i="2" s="1"/>
  <c r="U40" i="10" s="1"/>
  <c r="L67" i="2"/>
  <c r="O67" i="2" s="1"/>
  <c r="K67" i="2"/>
  <c r="N67" i="2" s="1"/>
  <c r="U39" i="10" s="1"/>
  <c r="L64" i="2"/>
  <c r="O64" i="2" s="1"/>
  <c r="G106" i="2"/>
  <c r="K64" i="2"/>
  <c r="N64" i="2" s="1"/>
  <c r="U36" i="10" s="1"/>
  <c r="K57" i="2"/>
  <c r="C57" i="11"/>
  <c r="L57" i="11" s="1"/>
  <c r="L59" i="2"/>
  <c r="I75" i="2"/>
  <c r="I76" i="2" s="1"/>
  <c r="D36" i="10"/>
  <c r="F36" i="10" s="1"/>
  <c r="I17" i="2"/>
  <c r="D52" i="2" s="1"/>
  <c r="L57" i="2"/>
  <c r="L69" i="2"/>
  <c r="L65" i="2"/>
  <c r="O65" i="2" s="1"/>
  <c r="L60" i="2"/>
  <c r="L66" i="2"/>
  <c r="L63" i="2"/>
  <c r="L70" i="2"/>
  <c r="L62" i="2"/>
  <c r="L58" i="2"/>
  <c r="I33" i="10" l="1"/>
  <c r="R61" i="2"/>
  <c r="G52" i="2"/>
  <c r="D72" i="2"/>
  <c r="D73" i="2"/>
  <c r="D74" i="2"/>
  <c r="R71" i="2"/>
  <c r="G31" i="4"/>
  <c r="B52" i="4"/>
  <c r="B33" i="4"/>
  <c r="C32" i="4"/>
  <c r="N60" i="2"/>
  <c r="U32" i="10" s="1"/>
  <c r="O60" i="2"/>
  <c r="R60" i="2" s="1"/>
  <c r="U6" i="9"/>
  <c r="M59" i="2"/>
  <c r="G43" i="10"/>
  <c r="D38" i="5"/>
  <c r="C58" i="11"/>
  <c r="L59" i="11"/>
  <c r="R67" i="2"/>
  <c r="G39" i="10"/>
  <c r="R64" i="2"/>
  <c r="G36" i="10"/>
  <c r="R65" i="2"/>
  <c r="G37" i="10"/>
  <c r="R68" i="2"/>
  <c r="G40" i="10"/>
  <c r="D37" i="10"/>
  <c r="F37" i="10" s="1"/>
  <c r="O69" i="2"/>
  <c r="O63" i="2"/>
  <c r="O66" i="2"/>
  <c r="O62" i="2"/>
  <c r="O70" i="2"/>
  <c r="I36" i="10" l="1"/>
  <c r="I37" i="10"/>
  <c r="J37" i="10" s="1"/>
  <c r="G74" i="2"/>
  <c r="G72" i="2"/>
  <c r="K52" i="2"/>
  <c r="J52" i="2"/>
  <c r="V52" i="2"/>
  <c r="L52" i="2"/>
  <c r="G73" i="2"/>
  <c r="V73" i="2" s="1"/>
  <c r="H72" i="2"/>
  <c r="C59" i="11"/>
  <c r="B34" i="4"/>
  <c r="C33" i="4"/>
  <c r="B53" i="4"/>
  <c r="B54" i="4" s="1"/>
  <c r="B55" i="4" s="1"/>
  <c r="B56" i="4" s="1"/>
  <c r="B57" i="4" s="1"/>
  <c r="B58" i="4" s="1"/>
  <c r="F32" i="4"/>
  <c r="G32" i="4" s="1"/>
  <c r="G32" i="10"/>
  <c r="N59" i="2"/>
  <c r="U31" i="10" s="1"/>
  <c r="V6" i="9"/>
  <c r="M58" i="2"/>
  <c r="N58" i="2" s="1"/>
  <c r="U30" i="10" s="1"/>
  <c r="O59" i="2"/>
  <c r="M57" i="11"/>
  <c r="D39" i="5"/>
  <c r="C60" i="11"/>
  <c r="C61" i="11"/>
  <c r="D41" i="5" s="1"/>
  <c r="R62" i="2"/>
  <c r="G34" i="10"/>
  <c r="R66" i="2"/>
  <c r="G38" i="10"/>
  <c r="R63" i="2"/>
  <c r="G35" i="10"/>
  <c r="R70" i="2"/>
  <c r="G42" i="10"/>
  <c r="R69" i="2"/>
  <c r="G41" i="10"/>
  <c r="D38" i="10"/>
  <c r="F38" i="10" s="1"/>
  <c r="P65" i="2" l="1"/>
  <c r="K36" i="4"/>
  <c r="I34" i="10"/>
  <c r="J34" i="10" s="1"/>
  <c r="I35" i="10"/>
  <c r="I32" i="10"/>
  <c r="J33" i="10" s="1"/>
  <c r="K32" i="4" s="1"/>
  <c r="M32" i="4" s="1"/>
  <c r="T37" i="10"/>
  <c r="Q65" i="2" s="1"/>
  <c r="I38" i="10"/>
  <c r="J38" i="10" s="1"/>
  <c r="C34" i="4"/>
  <c r="F34" i="4" s="1"/>
  <c r="J72" i="2"/>
  <c r="J73" i="2"/>
  <c r="K73" i="2"/>
  <c r="K72" i="2"/>
  <c r="L72" i="2"/>
  <c r="L73" i="2"/>
  <c r="V72" i="2"/>
  <c r="C114" i="2"/>
  <c r="H71" i="2"/>
  <c r="I72" i="2"/>
  <c r="F33" i="4"/>
  <c r="G33" i="4" s="1"/>
  <c r="B35" i="4"/>
  <c r="R59" i="2"/>
  <c r="G31" i="10"/>
  <c r="O58" i="2"/>
  <c r="W6" i="9"/>
  <c r="M57" i="2"/>
  <c r="N57" i="2" s="1"/>
  <c r="U29" i="10" s="1"/>
  <c r="D40" i="5"/>
  <c r="N57" i="11"/>
  <c r="O57" i="11" s="1"/>
  <c r="D39" i="10"/>
  <c r="F39" i="10" s="1"/>
  <c r="I39" i="10" s="1"/>
  <c r="J35" i="10" l="1"/>
  <c r="K34" i="4" s="1"/>
  <c r="P66" i="2"/>
  <c r="K37" i="4"/>
  <c r="P62" i="2"/>
  <c r="K33" i="4"/>
  <c r="M33" i="4" s="1"/>
  <c r="J36" i="10"/>
  <c r="T34" i="10"/>
  <c r="Q62" i="2" s="1"/>
  <c r="P61" i="2"/>
  <c r="T33" i="10"/>
  <c r="Q61" i="2" s="1"/>
  <c r="T38" i="10"/>
  <c r="Q66" i="2" s="1"/>
  <c r="J39" i="10"/>
  <c r="K38" i="4" s="1"/>
  <c r="I31" i="10"/>
  <c r="C35" i="4"/>
  <c r="F35" i="4" s="1"/>
  <c r="C115" i="2"/>
  <c r="D114" i="2"/>
  <c r="C117" i="2"/>
  <c r="E118" i="2" s="1"/>
  <c r="D17" i="5"/>
  <c r="E119" i="2"/>
  <c r="C116" i="2"/>
  <c r="H70" i="2"/>
  <c r="I71" i="2"/>
  <c r="G34" i="4"/>
  <c r="B36" i="4"/>
  <c r="O57" i="2"/>
  <c r="X6" i="9"/>
  <c r="M56" i="2"/>
  <c r="N56" i="2" s="1"/>
  <c r="U28" i="10" s="1"/>
  <c r="R58" i="2"/>
  <c r="G30" i="10"/>
  <c r="D40" i="10"/>
  <c r="F40" i="10" s="1"/>
  <c r="I40" i="10" s="1"/>
  <c r="J40" i="10" s="1"/>
  <c r="K39" i="4" s="1"/>
  <c r="P63" i="2" l="1"/>
  <c r="M34" i="4"/>
  <c r="T35" i="10"/>
  <c r="Q63" i="2" s="1"/>
  <c r="P64" i="2"/>
  <c r="K35" i="4"/>
  <c r="T36" i="10"/>
  <c r="Q64" i="2" s="1"/>
  <c r="P68" i="2"/>
  <c r="T40" i="10"/>
  <c r="Q68" i="2" s="1"/>
  <c r="P67" i="2"/>
  <c r="T39" i="10"/>
  <c r="Q67" i="2" s="1"/>
  <c r="J32" i="10"/>
  <c r="K31" i="4" s="1"/>
  <c r="M31" i="4" s="1"/>
  <c r="I30" i="10"/>
  <c r="D20" i="5"/>
  <c r="D21" i="5"/>
  <c r="D19" i="5"/>
  <c r="D18" i="5"/>
  <c r="D115" i="2"/>
  <c r="D116" i="2"/>
  <c r="D117" i="2"/>
  <c r="H69" i="2"/>
  <c r="I70" i="2"/>
  <c r="G35" i="4"/>
  <c r="B37" i="4"/>
  <c r="C36" i="4"/>
  <c r="O56" i="2"/>
  <c r="Y6" i="9"/>
  <c r="M55" i="2"/>
  <c r="N55" i="2" s="1"/>
  <c r="U27" i="10" s="1"/>
  <c r="G29" i="10"/>
  <c r="R57" i="2"/>
  <c r="D41" i="10"/>
  <c r="F41" i="10" s="1"/>
  <c r="I41" i="10" s="1"/>
  <c r="J41" i="10" s="1"/>
  <c r="K40" i="4" s="1"/>
  <c r="M35" i="4" l="1"/>
  <c r="P69" i="2"/>
  <c r="T41" i="10"/>
  <c r="Q69" i="2" s="1"/>
  <c r="I29" i="10"/>
  <c r="J30" i="10" s="1"/>
  <c r="K29" i="4" s="1"/>
  <c r="M29" i="4" s="1"/>
  <c r="P60" i="2"/>
  <c r="T32" i="10"/>
  <c r="Q60" i="2" s="1"/>
  <c r="J31" i="10"/>
  <c r="K30" i="4" s="1"/>
  <c r="M30" i="4" s="1"/>
  <c r="H68" i="2"/>
  <c r="I69" i="2"/>
  <c r="C37" i="4"/>
  <c r="F37" i="4" s="1"/>
  <c r="F36" i="4"/>
  <c r="G36" i="4" s="1"/>
  <c r="M36" i="4" s="1"/>
  <c r="B38" i="4"/>
  <c r="O55" i="2"/>
  <c r="Z6" i="9"/>
  <c r="M54" i="2"/>
  <c r="N54" i="2" s="1"/>
  <c r="U26" i="10" s="1"/>
  <c r="R56" i="2"/>
  <c r="G28" i="10"/>
  <c r="D42" i="10"/>
  <c r="F42" i="10" s="1"/>
  <c r="I42" i="10" s="1"/>
  <c r="J42" i="10" s="1"/>
  <c r="K41" i="4" s="1"/>
  <c r="I28" i="10" l="1"/>
  <c r="J29" i="10" s="1"/>
  <c r="K28" i="4" s="1"/>
  <c r="M28" i="4" s="1"/>
  <c r="P58" i="2"/>
  <c r="T30" i="10"/>
  <c r="Q58" i="2" s="1"/>
  <c r="P59" i="2"/>
  <c r="T31" i="10"/>
  <c r="Q59" i="2" s="1"/>
  <c r="P70" i="2"/>
  <c r="T42" i="10"/>
  <c r="Q70" i="2" s="1"/>
  <c r="H67" i="2"/>
  <c r="I68" i="2"/>
  <c r="B39" i="4"/>
  <c r="G37" i="4"/>
  <c r="M37" i="4" s="1"/>
  <c r="C38" i="4"/>
  <c r="AA6" i="9"/>
  <c r="M53" i="2"/>
  <c r="N53" i="2" s="1"/>
  <c r="U25" i="10" s="1"/>
  <c r="R55" i="2"/>
  <c r="G27" i="10"/>
  <c r="O54" i="2"/>
  <c r="D43" i="10"/>
  <c r="F43" i="10" s="1"/>
  <c r="I43" i="10" s="1"/>
  <c r="O43" i="10" l="1"/>
  <c r="F6" i="18"/>
  <c r="I27" i="10"/>
  <c r="J28" i="10" s="1"/>
  <c r="K27" i="4" s="1"/>
  <c r="M27" i="4" s="1"/>
  <c r="P57" i="2"/>
  <c r="T29" i="10"/>
  <c r="Q57" i="2" s="1"/>
  <c r="L43" i="10"/>
  <c r="J43" i="10"/>
  <c r="K42" i="4" s="1"/>
  <c r="H66" i="2"/>
  <c r="I67" i="2"/>
  <c r="C39" i="4"/>
  <c r="F39" i="4" s="1"/>
  <c r="F38" i="4"/>
  <c r="G38" i="4" s="1"/>
  <c r="M38" i="4" s="1"/>
  <c r="B40" i="4"/>
  <c r="R54" i="2"/>
  <c r="G26" i="10"/>
  <c r="O53" i="2"/>
  <c r="AB6" i="9"/>
  <c r="AC6" i="9" s="1"/>
  <c r="AD6" i="9" s="1"/>
  <c r="AE6" i="9" s="1"/>
  <c r="AF6" i="9" s="1"/>
  <c r="AG6" i="9" s="1"/>
  <c r="AH6" i="9" s="1"/>
  <c r="AI6" i="9" s="1"/>
  <c r="AJ6" i="9" s="1"/>
  <c r="AK6" i="9" s="1"/>
  <c r="AL6" i="9" s="1"/>
  <c r="AM6" i="9" s="1"/>
  <c r="AN6" i="9" s="1"/>
  <c r="AO6" i="9" s="1"/>
  <c r="AP6" i="9" s="1"/>
  <c r="M52" i="2"/>
  <c r="N52" i="2" s="1"/>
  <c r="U24" i="10" s="1"/>
  <c r="D44" i="10"/>
  <c r="E6" i="18" l="1"/>
  <c r="E9" i="18" s="1"/>
  <c r="E10" i="18" s="1"/>
  <c r="F9" i="18"/>
  <c r="E11" i="18"/>
  <c r="F11" i="18" s="1"/>
  <c r="E19" i="18"/>
  <c r="F19" i="18" s="1"/>
  <c r="P56" i="2"/>
  <c r="T28" i="10"/>
  <c r="Q56" i="2" s="1"/>
  <c r="P71" i="2"/>
  <c r="T43" i="10"/>
  <c r="Q71" i="2" s="1"/>
  <c r="I26" i="10"/>
  <c r="J27" i="10" s="1"/>
  <c r="K26" i="4" s="1"/>
  <c r="M26" i="4" s="1"/>
  <c r="D12" i="5"/>
  <c r="F44" i="10"/>
  <c r="I44" i="10" s="1"/>
  <c r="O44" i="10" s="1"/>
  <c r="N72" i="2"/>
  <c r="S53" i="2"/>
  <c r="H65" i="2"/>
  <c r="I66" i="2"/>
  <c r="G39" i="4"/>
  <c r="M39" i="4" s="1"/>
  <c r="B41" i="4"/>
  <c r="C40" i="4"/>
  <c r="AD11" i="10"/>
  <c r="O52" i="2"/>
  <c r="T53" i="2" s="1"/>
  <c r="R53" i="2"/>
  <c r="G25" i="10"/>
  <c r="I25" i="10" s="1"/>
  <c r="D45" i="10"/>
  <c r="F45" i="10" s="1"/>
  <c r="I45" i="10" s="1"/>
  <c r="O45" i="10" s="1"/>
  <c r="P45" i="10" s="1"/>
  <c r="D12" i="10"/>
  <c r="J26" i="10" l="1"/>
  <c r="S54" i="2"/>
  <c r="S55" i="2" s="1"/>
  <c r="S56" i="2" s="1"/>
  <c r="S57" i="2" s="1"/>
  <c r="S58" i="2" s="1"/>
  <c r="S59" i="2" s="1"/>
  <c r="S60" i="2" s="1"/>
  <c r="S61" i="2" s="1"/>
  <c r="S62" i="2" s="1"/>
  <c r="S63" i="2" s="1"/>
  <c r="S64" i="2" s="1"/>
  <c r="S65" i="2" s="1"/>
  <c r="S66" i="2" s="1"/>
  <c r="S67" i="2" s="1"/>
  <c r="S68" i="2" s="1"/>
  <c r="S69" i="2" s="1"/>
  <c r="S70" i="2" s="1"/>
  <c r="S71" i="2" s="1"/>
  <c r="S72" i="2" s="1"/>
  <c r="S73" i="2"/>
  <c r="T54" i="2"/>
  <c r="T55" i="2" s="1"/>
  <c r="T56" i="2" s="1"/>
  <c r="T57" i="2" s="1"/>
  <c r="T58" i="2" s="1"/>
  <c r="T59" i="2" s="1"/>
  <c r="T60" i="2" s="1"/>
  <c r="T61" i="2" s="1"/>
  <c r="T62" i="2" s="1"/>
  <c r="T63" i="2" s="1"/>
  <c r="T64" i="2" s="1"/>
  <c r="T65" i="2" s="1"/>
  <c r="T66" i="2" s="1"/>
  <c r="T67" i="2" s="1"/>
  <c r="T68" i="2" s="1"/>
  <c r="T69" i="2" s="1"/>
  <c r="T70" i="2" s="1"/>
  <c r="T71" i="2" s="1"/>
  <c r="T72" i="2" s="1"/>
  <c r="T73" i="2"/>
  <c r="P55" i="2"/>
  <c r="T27" i="10"/>
  <c r="Q55" i="2" s="1"/>
  <c r="L44" i="10"/>
  <c r="J44" i="10"/>
  <c r="K43" i="4" s="1"/>
  <c r="J45" i="10"/>
  <c r="L45" i="10"/>
  <c r="C41" i="4"/>
  <c r="C42" i="4" s="1"/>
  <c r="H64" i="2"/>
  <c r="I65" i="2"/>
  <c r="C25" i="5"/>
  <c r="C43" i="4"/>
  <c r="F42" i="4"/>
  <c r="F40" i="4"/>
  <c r="G40" i="4" s="1"/>
  <c r="M40" i="4" s="1"/>
  <c r="F41" i="4"/>
  <c r="G24" i="10"/>
  <c r="R52" i="2"/>
  <c r="R73" i="2" s="1"/>
  <c r="O73" i="2"/>
  <c r="O72" i="2"/>
  <c r="H25" i="10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D14" i="5"/>
  <c r="D46" i="10"/>
  <c r="F46" i="10" s="1"/>
  <c r="I46" i="10" s="1"/>
  <c r="O46" i="10" s="1"/>
  <c r="P46" i="10" s="1"/>
  <c r="P54" i="2" l="1"/>
  <c r="P73" i="2" s="1"/>
  <c r="K25" i="4"/>
  <c r="M25" i="4" s="1"/>
  <c r="T26" i="10"/>
  <c r="Q54" i="2" s="1"/>
  <c r="Q72" i="2" s="1"/>
  <c r="M45" i="10"/>
  <c r="L46" i="10"/>
  <c r="M46" i="10" s="1"/>
  <c r="J46" i="10"/>
  <c r="Q45" i="10"/>
  <c r="Q44" i="10"/>
  <c r="H63" i="2"/>
  <c r="I64" i="2"/>
  <c r="G41" i="4"/>
  <c r="C44" i="4"/>
  <c r="F43" i="4"/>
  <c r="D47" i="10"/>
  <c r="F47" i="10" s="1"/>
  <c r="I47" i="10" s="1"/>
  <c r="O47" i="10" s="1"/>
  <c r="P47" i="10" s="1"/>
  <c r="D13" i="10"/>
  <c r="Q73" i="2" l="1"/>
  <c r="P72" i="2"/>
  <c r="L47" i="10"/>
  <c r="M47" i="10" s="1"/>
  <c r="J47" i="10"/>
  <c r="M24" i="4"/>
  <c r="G42" i="4"/>
  <c r="M42" i="4" s="1"/>
  <c r="M41" i="4"/>
  <c r="H62" i="2"/>
  <c r="I63" i="2"/>
  <c r="C45" i="4"/>
  <c r="F44" i="4"/>
  <c r="D48" i="10"/>
  <c r="F48" i="10" s="1"/>
  <c r="I48" i="10" s="1"/>
  <c r="O48" i="10" s="1"/>
  <c r="P48" i="10" s="1"/>
  <c r="J48" i="10" l="1"/>
  <c r="L48" i="10"/>
  <c r="M48" i="10" s="1"/>
  <c r="Q47" i="10"/>
  <c r="Q46" i="10"/>
  <c r="G43" i="4"/>
  <c r="B25" i="5"/>
  <c r="D25" i="5" s="1"/>
  <c r="M43" i="4"/>
  <c r="H61" i="2"/>
  <c r="I62" i="2"/>
  <c r="H43" i="4"/>
  <c r="G44" i="4"/>
  <c r="M44" i="4" s="1"/>
  <c r="C46" i="4"/>
  <c r="F45" i="4"/>
  <c r="D49" i="10"/>
  <c r="F49" i="10" s="1"/>
  <c r="I49" i="10" s="1"/>
  <c r="O49" i="10" s="1"/>
  <c r="P49" i="10" s="1"/>
  <c r="O43" i="4" l="1"/>
  <c r="N43" i="4"/>
  <c r="L49" i="10"/>
  <c r="M49" i="10" s="1"/>
  <c r="J49" i="10"/>
  <c r="Q48" i="10"/>
  <c r="H60" i="2"/>
  <c r="I61" i="2"/>
  <c r="G45" i="4"/>
  <c r="M45" i="4" s="1"/>
  <c r="C47" i="4"/>
  <c r="F46" i="4"/>
  <c r="D50" i="10"/>
  <c r="F50" i="10" s="1"/>
  <c r="I50" i="10" s="1"/>
  <c r="O50" i="10" s="1"/>
  <c r="P50" i="10" s="1"/>
  <c r="J50" i="10" l="1"/>
  <c r="L50" i="10"/>
  <c r="M50" i="10" s="1"/>
  <c r="H59" i="2"/>
  <c r="I60" i="2"/>
  <c r="G46" i="4"/>
  <c r="M46" i="4" s="1"/>
  <c r="C48" i="4"/>
  <c r="F47" i="4"/>
  <c r="D14" i="10"/>
  <c r="D51" i="10"/>
  <c r="F51" i="10" s="1"/>
  <c r="I51" i="10" s="1"/>
  <c r="O51" i="10" s="1"/>
  <c r="P51" i="10" s="1"/>
  <c r="L51" i="10" l="1"/>
  <c r="M51" i="10" s="1"/>
  <c r="J51" i="10"/>
  <c r="C26" i="5"/>
  <c r="Q49" i="10"/>
  <c r="H58" i="2"/>
  <c r="I59" i="2"/>
  <c r="G47" i="4"/>
  <c r="M47" i="4" s="1"/>
  <c r="C49" i="4"/>
  <c r="F48" i="4"/>
  <c r="D52" i="10"/>
  <c r="F52" i="10" s="1"/>
  <c r="I52" i="10" s="1"/>
  <c r="O52" i="10" s="1"/>
  <c r="P52" i="10" s="1"/>
  <c r="J52" i="10" l="1"/>
  <c r="L52" i="10"/>
  <c r="M52" i="10" s="1"/>
  <c r="Q50" i="10"/>
  <c r="Q51" i="10"/>
  <c r="H57" i="2"/>
  <c r="I58" i="2"/>
  <c r="G48" i="4"/>
  <c r="M48" i="4" s="1"/>
  <c r="O48" i="4" s="1"/>
  <c r="C50" i="4"/>
  <c r="F49" i="4"/>
  <c r="D53" i="10"/>
  <c r="F53" i="10" s="1"/>
  <c r="I53" i="10" s="1"/>
  <c r="O53" i="10" s="1"/>
  <c r="P53" i="10" s="1"/>
  <c r="L53" i="10" l="1"/>
  <c r="M53" i="10" s="1"/>
  <c r="J53" i="10"/>
  <c r="Q52" i="10"/>
  <c r="H56" i="2"/>
  <c r="I57" i="2"/>
  <c r="B26" i="5"/>
  <c r="D26" i="5" s="1"/>
  <c r="H48" i="4"/>
  <c r="G49" i="4"/>
  <c r="M49" i="4" s="1"/>
  <c r="C51" i="4"/>
  <c r="F50" i="4"/>
  <c r="D54" i="10"/>
  <c r="F54" i="10" s="1"/>
  <c r="I54" i="10" s="1"/>
  <c r="O54" i="10" s="1"/>
  <c r="P54" i="10" s="1"/>
  <c r="L54" i="10" l="1"/>
  <c r="M54" i="10" s="1"/>
  <c r="J54" i="10"/>
  <c r="H55" i="2"/>
  <c r="I56" i="2"/>
  <c r="G50" i="4"/>
  <c r="C52" i="4"/>
  <c r="F51" i="4"/>
  <c r="D55" i="10"/>
  <c r="F55" i="10" s="1"/>
  <c r="I55" i="10" s="1"/>
  <c r="O55" i="10" s="1"/>
  <c r="P55" i="10" s="1"/>
  <c r="D15" i="10"/>
  <c r="J55" i="10" l="1"/>
  <c r="L55" i="10"/>
  <c r="M55" i="10" s="1"/>
  <c r="Q53" i="10"/>
  <c r="Q54" i="10" s="1"/>
  <c r="C27" i="5"/>
  <c r="H50" i="4"/>
  <c r="M50" i="4"/>
  <c r="O50" i="4" s="1"/>
  <c r="H54" i="2"/>
  <c r="I55" i="2"/>
  <c r="G51" i="4"/>
  <c r="M51" i="4" s="1"/>
  <c r="C53" i="4"/>
  <c r="F52" i="4"/>
  <c r="D56" i="10"/>
  <c r="F56" i="10" s="1"/>
  <c r="I56" i="10" s="1"/>
  <c r="O56" i="10" s="1"/>
  <c r="P56" i="10" s="1"/>
  <c r="L56" i="10" l="1"/>
  <c r="M56" i="10" s="1"/>
  <c r="J56" i="10"/>
  <c r="H53" i="2"/>
  <c r="H52" i="2" s="1"/>
  <c r="H51" i="2" s="1"/>
  <c r="I54" i="2"/>
  <c r="F53" i="4"/>
  <c r="C54" i="4"/>
  <c r="G52" i="4"/>
  <c r="D57" i="10"/>
  <c r="F57" i="10" s="1"/>
  <c r="I57" i="10" s="1"/>
  <c r="O57" i="10" s="1"/>
  <c r="P57" i="10" s="1"/>
  <c r="J57" i="10" l="1"/>
  <c r="L57" i="10"/>
  <c r="M57" i="10" s="1"/>
  <c r="C28" i="5"/>
  <c r="G53" i="4"/>
  <c r="M53" i="4" s="1"/>
  <c r="O53" i="4" s="1"/>
  <c r="M52" i="4"/>
  <c r="H50" i="2"/>
  <c r="I51" i="2"/>
  <c r="I52" i="2"/>
  <c r="I53" i="2"/>
  <c r="C55" i="4"/>
  <c r="F54" i="4"/>
  <c r="G54" i="4" s="1"/>
  <c r="M54" i="4" s="1"/>
  <c r="D58" i="10"/>
  <c r="F58" i="10" s="1"/>
  <c r="I58" i="10" s="1"/>
  <c r="O58" i="10" s="1"/>
  <c r="P58" i="10" s="1"/>
  <c r="L58" i="10" l="1"/>
  <c r="M58" i="10" s="1"/>
  <c r="J58" i="10"/>
  <c r="H53" i="4"/>
  <c r="B27" i="5"/>
  <c r="D27" i="5" s="1"/>
  <c r="H49" i="2"/>
  <c r="I49" i="2" s="1"/>
  <c r="I50" i="2"/>
  <c r="C56" i="4"/>
  <c r="F55" i="4"/>
  <c r="G55" i="4" s="1"/>
  <c r="D59" i="10"/>
  <c r="F59" i="10" s="1"/>
  <c r="I59" i="10" s="1"/>
  <c r="O59" i="10" s="1"/>
  <c r="P59" i="10" s="1"/>
  <c r="J59" i="10" l="1"/>
  <c r="L59" i="10"/>
  <c r="M59" i="10" s="1"/>
  <c r="M55" i="4"/>
  <c r="O55" i="4" s="1"/>
  <c r="D60" i="10"/>
  <c r="F60" i="10" s="1"/>
  <c r="I60" i="10" s="1"/>
  <c r="O60" i="10" s="1"/>
  <c r="P60" i="10" s="1"/>
  <c r="B28" i="5"/>
  <c r="D28" i="5" s="1"/>
  <c r="H55" i="4"/>
  <c r="C57" i="4"/>
  <c r="F56" i="4"/>
  <c r="G56" i="4" s="1"/>
  <c r="M56" i="4" s="1"/>
  <c r="L60" i="10" l="1"/>
  <c r="M60" i="10" s="1"/>
  <c r="J60" i="10"/>
  <c r="C29" i="5"/>
  <c r="D61" i="10"/>
  <c r="F61" i="10" s="1"/>
  <c r="I61" i="10" s="1"/>
  <c r="O61" i="10" s="1"/>
  <c r="P61" i="10" s="1"/>
  <c r="C58" i="4"/>
  <c r="F58" i="4" s="1"/>
  <c r="F57" i="4"/>
  <c r="G57" i="4" s="1"/>
  <c r="J61" i="10" l="1"/>
  <c r="L61" i="10"/>
  <c r="M61" i="10" s="1"/>
  <c r="D62" i="10"/>
  <c r="F62" i="10" s="1"/>
  <c r="I62" i="10" s="1"/>
  <c r="O62" i="10" s="1"/>
  <c r="P62" i="10" s="1"/>
  <c r="G58" i="4"/>
  <c r="H58" i="4" s="1"/>
  <c r="M57" i="4"/>
  <c r="L62" i="10" l="1"/>
  <c r="M62" i="10" s="1"/>
  <c r="J62" i="10"/>
  <c r="D63" i="10"/>
  <c r="F63" i="10" s="1"/>
  <c r="I63" i="10" s="1"/>
  <c r="O63" i="10" s="1"/>
  <c r="P63" i="10" s="1"/>
  <c r="B29" i="5"/>
  <c r="D29" i="5" s="1"/>
  <c r="M58" i="4"/>
  <c r="O58" i="4" s="1"/>
  <c r="L63" i="10" l="1"/>
  <c r="M63" i="10" s="1"/>
  <c r="J63" i="10"/>
  <c r="D64" i="10"/>
  <c r="F64" i="10" s="1"/>
  <c r="I64" i="10" s="1"/>
  <c r="O64" i="10" s="1"/>
  <c r="P64" i="10" s="1"/>
  <c r="J64" i="10" l="1"/>
  <c r="L64" i="10"/>
  <c r="M6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EEB2D15B-AEC4-4667-8572-494760EED33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sharedStrings.xml><?xml version="1.0" encoding="utf-8"?>
<sst xmlns="http://schemas.openxmlformats.org/spreadsheetml/2006/main" count="678" uniqueCount="563">
  <si>
    <t>http://www.amion.co.uk/case-studies/eden-project-evaluation/</t>
  </si>
  <si>
    <t>Yearly average</t>
  </si>
  <si>
    <t>Years</t>
  </si>
  <si>
    <t>Cornish Financial Benefit</t>
  </si>
  <si>
    <t>Eden Project Cornwall UK</t>
  </si>
  <si>
    <t>Approximate Totals</t>
  </si>
  <si>
    <t>Total</t>
  </si>
  <si>
    <t>Annualised</t>
  </si>
  <si>
    <t>Fy extrap</t>
  </si>
  <si>
    <t>Tonnes/Blast</t>
  </si>
  <si>
    <t>FY Tonnes</t>
  </si>
  <si>
    <t>Blasts per year</t>
  </si>
  <si>
    <t>Mine Gate Profit/Tonne</t>
  </si>
  <si>
    <t>Mine Gate Cost/Tonne</t>
  </si>
  <si>
    <t>2019 prices</t>
  </si>
  <si>
    <t>$/tonne</t>
  </si>
  <si>
    <t>Magub</t>
  </si>
  <si>
    <t>Area HA</t>
  </si>
  <si>
    <t>$ mil</t>
  </si>
  <si>
    <t>£ mil</t>
  </si>
  <si>
    <t>Average</t>
  </si>
  <si>
    <t>Tonnes</t>
  </si>
  <si>
    <t>$Mil</t>
  </si>
  <si>
    <t>Profit</t>
  </si>
  <si>
    <r>
      <t xml:space="preserve">Eden Project future GVA was estimated to be around </t>
    </r>
    <r>
      <rPr>
        <sz val="11"/>
        <rFont val="Calibri"/>
        <family val="2"/>
      </rPr>
      <t>£100 milion ($200million)</t>
    </r>
  </si>
  <si>
    <t>(GVA = Gross Value Added).</t>
  </si>
  <si>
    <t>Estimated MCQ Sales data</t>
  </si>
  <si>
    <t>http://www.bantheblasting.org/MC-QAG-Reports/2017-Report/APPENDIX-II-MagubMCQLetterAndFaxesToQAG.pdf</t>
  </si>
  <si>
    <t>average</t>
  </si>
  <si>
    <t>Based upon data provided by Judy Magub, we were able to calculate an approximate Tonnes Per Blast.</t>
  </si>
  <si>
    <t>Blasts</t>
  </si>
  <si>
    <t>Difference</t>
  </si>
  <si>
    <t>per blast</t>
  </si>
  <si>
    <t>$</t>
  </si>
  <si>
    <t>Roma St</t>
  </si>
  <si>
    <t xml:space="preserve">Eden Project </t>
  </si>
  <si>
    <t>count</t>
  </si>
  <si>
    <t>total</t>
  </si>
  <si>
    <t>Roma St Costs</t>
  </si>
  <si>
    <t>tonnes</t>
  </si>
  <si>
    <t>Undelivered Casual Mine Gate price</t>
  </si>
  <si>
    <t>weeks</t>
  </si>
  <si>
    <t>wk days</t>
  </si>
  <si>
    <t>www.EdenProject.com</t>
  </si>
  <si>
    <t>Eden Project in Australia</t>
  </si>
  <si>
    <t>www.EdenProjectAnglesea.com.au</t>
  </si>
  <si>
    <t>Cubic Metres</t>
  </si>
  <si>
    <t>(RTI) Total Material</t>
  </si>
  <si>
    <t>m3/T</t>
  </si>
  <si>
    <t>T/m3</t>
  </si>
  <si>
    <t>Basalt Rock Density</t>
  </si>
  <si>
    <t>Crushed Basalt Rock</t>
  </si>
  <si>
    <t>FieldArea</t>
  </si>
  <si>
    <t>Percentage Change from Corresponding Quarter of Previous Year ;  All groups CPI ;  Brisbane ;</t>
  </si>
  <si>
    <t>Unit</t>
  </si>
  <si>
    <t>Percent</t>
  </si>
  <si>
    <t>Series Type</t>
  </si>
  <si>
    <t>Original</t>
  </si>
  <si>
    <t>Data Type</t>
  </si>
  <si>
    <t>PERCENT</t>
  </si>
  <si>
    <t>Frequency</t>
  </si>
  <si>
    <t>Quarter</t>
  </si>
  <si>
    <t>Collection Month</t>
  </si>
  <si>
    <t>Series Start</t>
  </si>
  <si>
    <t>Series End</t>
  </si>
  <si>
    <t>No. Obs</t>
  </si>
  <si>
    <t>Series ID</t>
  </si>
  <si>
    <t>A2325817T</t>
  </si>
  <si>
    <t>Lake</t>
  </si>
  <si>
    <t>Contour</t>
  </si>
  <si>
    <t>Area SQM</t>
  </si>
  <si>
    <t>edge taper</t>
  </si>
  <si>
    <t>Subtotal</t>
  </si>
  <si>
    <t>metres</t>
  </si>
  <si>
    <t>Contour Line height</t>
  </si>
  <si>
    <t>Contour Line Creation date</t>
  </si>
  <si>
    <t>cubic metres</t>
  </si>
  <si>
    <t>Total Hole Weight</t>
  </si>
  <si>
    <t>Volume M3</t>
  </si>
  <si>
    <t>Circumference</t>
  </si>
  <si>
    <t>SQM</t>
  </si>
  <si>
    <t>Metres</t>
  </si>
  <si>
    <t>sqm</t>
  </si>
  <si>
    <t>Total Vertical Surface Area</t>
  </si>
  <si>
    <t>Lake Depth Estimate</t>
  </si>
  <si>
    <t>foreward</t>
  </si>
  <si>
    <t>reverse</t>
  </si>
  <si>
    <t>ABS CPI</t>
  </si>
  <si>
    <t>Add on volumes from Blasts since 1st September 2016</t>
  </si>
  <si>
    <t>Avg Blast Tonnes</t>
  </si>
  <si>
    <t>Totals since 1-9-2016</t>
  </si>
  <si>
    <t>September</t>
  </si>
  <si>
    <t>Area convert HA to SQM</t>
  </si>
  <si>
    <t>This is done by considering each 5m high slice of rock above every coutour line</t>
  </si>
  <si>
    <t>Calendar Year count</t>
  </si>
  <si>
    <t>Financial Year</t>
  </si>
  <si>
    <t>Calendar Year</t>
  </si>
  <si>
    <t>Estimated Rehabilitation Costs Based Upon Roma St Parklands</t>
  </si>
  <si>
    <t>Year</t>
  </si>
  <si>
    <t>RTI #Blasts</t>
  </si>
  <si>
    <t>CY Total</t>
  </si>
  <si>
    <t xml:space="preserve">CY Total </t>
  </si>
  <si>
    <t>CY CPI</t>
  </si>
  <si>
    <t>reduction</t>
  </si>
  <si>
    <t>Estimate 2001-2010</t>
  </si>
  <si>
    <t>RTI Historic 2001-2010</t>
  </si>
  <si>
    <t># Truck Moves</t>
  </si>
  <si>
    <t>Stadium</t>
  </si>
  <si>
    <t>Suncorp</t>
  </si>
  <si>
    <t>kilometres</t>
  </si>
  <si>
    <t>approx sqm</t>
  </si>
  <si>
    <t>Lookout</t>
  </si>
  <si>
    <t>(approx 8 million cubic metres)</t>
  </si>
  <si>
    <t>If stacked in Suncorp Stadium:</t>
  </si>
  <si>
    <t>Weekly average</t>
  </si>
  <si>
    <t>Work Day Average</t>
  </si>
  <si>
    <t>truck load</t>
  </si>
  <si>
    <t>(To From)</t>
  </si>
  <si>
    <t>Cubic metres</t>
  </si>
  <si>
    <t>Est. Total Material</t>
  </si>
  <si>
    <t>3 million truck movements since c2001</t>
  </si>
  <si>
    <t>Daily Work Day Truck Moves</t>
  </si>
  <si>
    <t>Total Work Day Truck Moves</t>
  </si>
  <si>
    <t>value</t>
  </si>
  <si>
    <t>Clearly the annual cost and value modifications would have been much higher if the CHIP was used instead of the overall CPI</t>
  </si>
  <si>
    <t>This page seeks to estimate the total amount of rock mined and the profit which was made.</t>
  </si>
  <si>
    <t>The numbers below represent a best-guess estimate of income and profit.</t>
  </si>
  <si>
    <t>This information was estimated by local residents, because the BCC do not provide any numeric data.</t>
  </si>
  <si>
    <t>This page seeks to determine the approximate rehabilitation costs by extrapolating the Roma St Map area up to the MCQ Surface Area.</t>
  </si>
  <si>
    <t>If the Roma St Rehab was completed in todays timespan, how much would it have cost?</t>
  </si>
  <si>
    <t>Roma St Parklands Compounding Estimates.</t>
  </si>
  <si>
    <t>Roma St Map Area</t>
  </si>
  <si>
    <t>MCQ Map Area</t>
  </si>
  <si>
    <t>MCQ Surface Area</t>
  </si>
  <si>
    <t>MCQ Vertical Area</t>
  </si>
  <si>
    <t>Rehab</t>
  </si>
  <si>
    <t>Equivalent MCQ $Mil</t>
  </si>
  <si>
    <t>CPI $Annualised</t>
  </si>
  <si>
    <t>=final cost in today's money</t>
  </si>
  <si>
    <t>=final specified cost</t>
  </si>
  <si>
    <t>CPI Annualised Cost</t>
  </si>
  <si>
    <t>$Mil If construction finished at these years.</t>
  </si>
  <si>
    <t>=be ready for olympics</t>
  </si>
  <si>
    <t>Extra Volume</t>
  </si>
  <si>
    <t>Tonnes (unmined)</t>
  </si>
  <si>
    <t>Total Crushed Volume</t>
  </si>
  <si>
    <t>- All tunnel spoil &amp; material removed from processing areas is extra.</t>
  </si>
  <si>
    <t>Crushed</t>
  </si>
  <si>
    <t>3. The MCQ Mine Gate Price and Profit Amounts were obtained by referring to other Brisbane quarries.</t>
  </si>
  <si>
    <t>8. The mined volumes and mass have been extrapolated from earlier 2001-2004 material provided by Cr Judy Magub.</t>
  </si>
  <si>
    <t>10. The more accurate cost inflationary numbers can be obtained from older Cordell RP-data values, which may still be available.</t>
  </si>
  <si>
    <t>12. The actual count of blasts done per year from 2001 is definitely correct. On occasions there have been 5 blasts in the one month.</t>
  </si>
  <si>
    <t>goes down to sea level</t>
  </si>
  <si>
    <t>Accumulated</t>
  </si>
  <si>
    <t>Cost $Mil</t>
  </si>
  <si>
    <t>Legacy Way Spoil Vol</t>
  </si>
  <si>
    <t>Total Mined Hole Vol</t>
  </si>
  <si>
    <t>Total QldGlobe Volume</t>
  </si>
  <si>
    <t xml:space="preserve">Resource Processing Area Contour 1 . </t>
  </si>
  <si>
    <t>Resource Processing Area Contour 1</t>
  </si>
  <si>
    <t>Metre deep</t>
  </si>
  <si>
    <t>Contour 1</t>
  </si>
  <si>
    <t>Contour 2</t>
  </si>
  <si>
    <t>Total MCLR-Estimated Exports Since 2001 (based on blasting data)</t>
  </si>
  <si>
    <t>HA</t>
  </si>
  <si>
    <t>CPI  Profit</t>
  </si>
  <si>
    <t>Estimation of quarry hole volume and vertical surface area using QldGlobe September 2016  5-metre Contour lines.</t>
  </si>
  <si>
    <t>CPI Profit</t>
  </si>
  <si>
    <t>Use Qld Globe Contour Line Area and perimeter to calculate volume and vertical surface area.</t>
  </si>
  <si>
    <t>Link:</t>
  </si>
  <si>
    <t xml:space="preserve">https://qldglobe.information.qld.gov.au/qldglobe/public/mt-coot-tha-quarry-0 </t>
  </si>
  <si>
    <t>Notes:</t>
  </si>
  <si>
    <t>So by tracing out on top of each contour we can get:</t>
  </si>
  <si>
    <t>1. The Surface Area of each contour.</t>
  </si>
  <si>
    <t>2. The circumference length of each contour.</t>
  </si>
  <si>
    <t xml:space="preserve">Surface Area: </t>
  </si>
  <si>
    <t>This provides the slice volume (as long as there is a contour above).</t>
  </si>
  <si>
    <t>There is also a small taper volume (the difference between contours).</t>
  </si>
  <si>
    <t>Adding all the slice volumes provides the total volume.</t>
  </si>
  <si>
    <t>The difficulty comes when there is no contour above, so we had to estimate this.</t>
  </si>
  <si>
    <t>Circumference:</t>
  </si>
  <si>
    <t>Lawrie Smith was insistent that we must use Surface area instead of Map area.</t>
  </si>
  <si>
    <t>The vertical component of each contour = 5m x contour circumference.</t>
  </si>
  <si>
    <t>The vertical component of the hole = sum of all contour vertical component.</t>
  </si>
  <si>
    <t>The MCQ hole  is mainly stepped to allow vehicle traffic to drive around.</t>
  </si>
  <si>
    <t>Hence the entire hole surface area = Map Surface Area + Hole Vertical area.</t>
  </si>
  <si>
    <t>Recommendation:</t>
  </si>
  <si>
    <t>This is a reasonable estimate where previously there was none.</t>
  </si>
  <si>
    <t>Make-Up to End CY 2019.</t>
  </si>
  <si>
    <t>As we know the number of blasts since 1st September 2016.</t>
  </si>
  <si>
    <t>We added the average estimated volumenfor all these blasts.</t>
  </si>
  <si>
    <t>Geospatial consultants can get a more accurate estimate (if needed).</t>
  </si>
  <si>
    <t>Rock Density Values</t>
  </si>
  <si>
    <t>The density of the rock varies as it gets aerated after crushing.</t>
  </si>
  <si>
    <t>Hence there are two density values.</t>
  </si>
  <si>
    <t>In this worksheet we attempt to estimate the MCQ Rehab Costs.</t>
  </si>
  <si>
    <t>We know the final cost to rehabilitate the Roms St Parklands.</t>
  </si>
  <si>
    <t>The amount was $72 mil in 2001.</t>
  </si>
  <si>
    <t>Using the CPI values for each year, we can annualise the rehab.</t>
  </si>
  <si>
    <t>Extrapolating the Roma St Parklands Rehab Cost:</t>
  </si>
  <si>
    <t>Extrapolating the rehab to MCQ Surface Area.</t>
  </si>
  <si>
    <t>The same amount of work in 2019 $ mil =</t>
  </si>
  <si>
    <t xml:space="preserve">Area difference Upsize Factor $ mil = </t>
  </si>
  <si>
    <t>add 30% Contingency, multiply by 1.3</t>
  </si>
  <si>
    <t>$ million</t>
  </si>
  <si>
    <t>Net Rehab Column</t>
  </si>
  <si>
    <t>In the Blasting Estimates the profit was annualised by the CPI</t>
  </si>
  <si>
    <t>The Net Rehab Estimate = Rehab - Profit</t>
  </si>
  <si>
    <t>Lost Zipline Benefit</t>
  </si>
  <si>
    <t>In 2019, the Zip benefit was rated at 7.7 million/year.</t>
  </si>
  <si>
    <t>This was then annualised back to 2001 using the CPI.</t>
  </si>
  <si>
    <t>The accumulated profit was also calculated.</t>
  </si>
  <si>
    <t>NB: These values might be checked and adjusted as required.</t>
  </si>
  <si>
    <t>Blasting Counts &amp; Economics Estimates</t>
  </si>
  <si>
    <t>5-10mm gravel casual gate price</t>
  </si>
  <si>
    <t>Cr Magub MCQ Mining Data</t>
  </si>
  <si>
    <t>Commercial or non-commercial</t>
  </si>
  <si>
    <t>2. Interviewed Quary Truck drivers confirm that none of the MCQ gravel is used by the BCC.</t>
  </si>
  <si>
    <t>1. Blast count numbers previously provided by RTI.</t>
  </si>
  <si>
    <t>2. In 2003 cr Magub was not given the full year data, so we estimated the missing 3 months.</t>
  </si>
  <si>
    <t xml:space="preserve">3. Cr Magub data was Financial Year, we converted this to calendar year.  </t>
  </si>
  <si>
    <t>6. Because gravel prices are from  2019, we back-calculated the CPI Annualised Profit (2019 back to 2001).</t>
  </si>
  <si>
    <t>4. Cr Magub data provided the approximate Tonnes/blast.</t>
  </si>
  <si>
    <t>5. The tonnes/blast is expected to decrease as mining difficulth increases, this provides data safety margin.</t>
  </si>
  <si>
    <t>4. Estimated MCQ Mine Gate Cost/tonne based on other quarry prices</t>
  </si>
  <si>
    <t>Date</t>
  </si>
  <si>
    <t>Volume m3</t>
  </si>
  <si>
    <t>April-2012</t>
  </si>
  <si>
    <t>June-2012</t>
  </si>
  <si>
    <t>July-2012</t>
  </si>
  <si>
    <t>Total 2012 blast count</t>
  </si>
  <si>
    <t xml:space="preserve">Blast areas 1-8 total volume </t>
  </si>
  <si>
    <t>Blast areas 1-8 avg volume</t>
  </si>
  <si>
    <t>In-ground Density</t>
  </si>
  <si>
    <t>Extrapolated 2012 tonnes</t>
  </si>
  <si>
    <t>2012 Estimates (above)</t>
  </si>
  <si>
    <t>Truck moves</t>
  </si>
  <si>
    <t>7. Estimate CY totals after 2005.</t>
  </si>
  <si>
    <t>9. Use CPI to annualise foreward and reverse as required.</t>
  </si>
  <si>
    <t>10. Use BCC Zipline numbers to illustrate poor financial management.</t>
  </si>
  <si>
    <t>8. Estimate Sales and Profit - click on cells to see how thay are calculated.</t>
  </si>
  <si>
    <t>1. Brisbane RTI confirms all data is strictly commercial-in-confidence and of high value to all the BCC competitors.</t>
  </si>
  <si>
    <t>3. MCLR people have followed the gravel loaded trucks and confirmed they are heading south of Ipswich.</t>
  </si>
  <si>
    <t>For images of blast vibration damage see:</t>
  </si>
  <si>
    <t>11. You can change critical numbers as required.</t>
  </si>
  <si>
    <t>Critical numbers can easily be changed here</t>
  </si>
  <si>
    <t>Estimated Totals since 2001</t>
  </si>
  <si>
    <t>Example: How high if stacked in Suncorp Stadium</t>
  </si>
  <si>
    <t>More than 1klm high.</t>
  </si>
  <si>
    <t>- Several times higher than Brisbane Lookout</t>
  </si>
  <si>
    <t>FebMar-2012</t>
  </si>
  <si>
    <t>6. The Quarry hole data includes both the resource processing area plus the 2.3 million cubic metres of Legacy Way Tunnnel Spoil.</t>
  </si>
  <si>
    <t xml:space="preserve">5. The volume, surface and mass of the quarry hole has been estimated from Qld Globe with no specific accuracy tolerances. </t>
  </si>
  <si>
    <t>7. The Rock Density numbers have not been verified against the actual MCQ material.</t>
  </si>
  <si>
    <t>9. The ABS CPI numbers have been obtained from the ABS website and may not exactly reflect the Brisbane quarry financial circumstances.</t>
  </si>
  <si>
    <t>15. The rock weight is based on measurements by the MCQ weighbridge, plus the actual aerated volume may be variable.</t>
  </si>
  <si>
    <t>- Considerably higher if aerated by digging, crushing and carting.</t>
  </si>
  <si>
    <t>Financial Estimate Disclaimers</t>
  </si>
  <si>
    <t>Qld Globe provides measured surface area and line length.</t>
  </si>
  <si>
    <r>
      <t xml:space="preserve">=GBP </t>
    </r>
    <r>
      <rPr>
        <sz val="11"/>
        <color theme="1"/>
        <rFont val="Calibri"/>
        <family val="2"/>
      </rPr>
      <t>£</t>
    </r>
    <r>
      <rPr>
        <sz val="11"/>
        <color theme="1"/>
        <rFont val="Calibri"/>
        <family val="2"/>
        <scheme val="minor"/>
      </rPr>
      <t>1000</t>
    </r>
  </si>
  <si>
    <t>Avg Profit</t>
  </si>
  <si>
    <t>CY Total 10t</t>
  </si>
  <si>
    <t>10t Truckavg</t>
  </si>
  <si>
    <t>)</t>
  </si>
  <si>
    <t>(to+from)</t>
  </si>
  <si>
    <t>This chart shows the estimated approximate Tonnes of Gravel mined at MCQ since 2000.</t>
  </si>
  <si>
    <t>This chart shows the Exact number of blasts conducted at MCQ since 2000.</t>
  </si>
  <si>
    <t>1. The data contained in this spreadsheet has been estimated by local residents who are not qualified accountants or economists.</t>
  </si>
  <si>
    <t>2. Due to a total lack of information from the BCC, it has been necessary to estimate some of the data items to provide the best possible estimates.</t>
  </si>
  <si>
    <t>4. As of the publish date, the data calculations contained herein may need to be changed as new data or models become available.</t>
  </si>
  <si>
    <t>11. Generally speaking, it appears that the Cordell CHIP data values are much more aggressive, this may increase the BCC MCQ financial disaster.</t>
  </si>
  <si>
    <t>13. We believe that the volume and mass of the hole should be reasonably correct as of 2016, plus we also added 2016+ average blast mass.</t>
  </si>
  <si>
    <t>14. The RTI 2001-2010 exported mass of rock should be reasonaby correct, however the actual date-range was not specific.</t>
  </si>
  <si>
    <t>16. The income finances provided by the Eden Project Case Study are a great inspiration, but the final Brisbane Design may be different.</t>
  </si>
  <si>
    <t>Debt</t>
  </si>
  <si>
    <t>Eden Project Anglesea</t>
  </si>
  <si>
    <t>Jobs</t>
  </si>
  <si>
    <t xml:space="preserve">Accumulated </t>
  </si>
  <si>
    <t xml:space="preserve">GVA Data was obtained from published case study material (2 Billion Pounds since 2001). </t>
  </si>
  <si>
    <t>MCLR belief: Continued mining of Mt Coot-tha DOGIT tourist parkland = Economic Disaster.</t>
  </si>
  <si>
    <t xml:space="preserve">Common High Quality Brisbane Basalt </t>
  </si>
  <si>
    <t>Eden Project Anglesea is underway and projected employment estimates are published.</t>
  </si>
  <si>
    <t>MCLR belief: Continued mining of Mt Coot-tha DOGIT tourist parkland = Economic Debt Disaster.</t>
  </si>
  <si>
    <t xml:space="preserve">GVA Data was obtained from published UK case study material. </t>
  </si>
  <si>
    <t>Annual Cornwall Eden Project Gross Value Added against the MCQ Rehab Debt.</t>
  </si>
  <si>
    <t>Eden Project Anglesea is underway in Victoria Australia and projected income estimates are published.</t>
  </si>
  <si>
    <t>By comparison current MCQ income is minimal and the BCC continues increasing the rehabilitation debt.</t>
  </si>
  <si>
    <t>They state 700 construction jobs and 300 permanent jobs when completed.</t>
  </si>
  <si>
    <t xml:space="preserve">$Mil </t>
  </si>
  <si>
    <t>2. The MCLR secured dust reduction measures, blast warning sirens and notification emails - where previously there were none at all.</t>
  </si>
  <si>
    <t>1. The 20 year MCQ story is one where the Mt Coot-tha Local Residents (MCLR) have been desperately battling the damaging MCQ Blasting.</t>
  </si>
  <si>
    <t>The MCQ Local Residents Tragedy</t>
  </si>
  <si>
    <t>Gravel Costs</t>
  </si>
  <si>
    <t>Gravel Sales</t>
  </si>
  <si>
    <t>Gravel Profit</t>
  </si>
  <si>
    <t>Stack Height</t>
  </si>
  <si>
    <t>2. Total Hole Volume</t>
  </si>
  <si>
    <t xml:space="preserve">3. Total Removed Hole Mass </t>
  </si>
  <si>
    <t xml:space="preserve">4. Total Crushed Volume </t>
  </si>
  <si>
    <t>Compare Roma St &amp; MCQ Areas</t>
  </si>
  <si>
    <t>ha</t>
  </si>
  <si>
    <t>Extra Surface Area</t>
  </si>
  <si>
    <t>Total Upsize</t>
  </si>
  <si>
    <t>Add Contingency</t>
  </si>
  <si>
    <t>Upsize</t>
  </si>
  <si>
    <t>Average GBP to AUD</t>
  </si>
  <si>
    <t>Annual GVA</t>
  </si>
  <si>
    <t>Millions</t>
  </si>
  <si>
    <t>Community benefit numbers</t>
  </si>
  <si>
    <t>UK CPI</t>
  </si>
  <si>
    <t xml:space="preserve">ABS Average CPI </t>
  </si>
  <si>
    <t>UK Average CPI</t>
  </si>
  <si>
    <t>GVA accumulated</t>
  </si>
  <si>
    <t>used CPI</t>
  </si>
  <si>
    <t xml:space="preserve">Annual GVA  </t>
  </si>
  <si>
    <t>Billion</t>
  </si>
  <si>
    <t>Interest</t>
  </si>
  <si>
    <t>Interest rate</t>
  </si>
  <si>
    <t>accumulated</t>
  </si>
  <si>
    <t>All Numbers in AU$ Millions</t>
  </si>
  <si>
    <t>+ Interest</t>
  </si>
  <si>
    <t xml:space="preserve"> to reverse </t>
  </si>
  <si>
    <t>annualise</t>
  </si>
  <si>
    <t xml:space="preserve">and sum </t>
  </si>
  <si>
    <t>to 2 billion</t>
  </si>
  <si>
    <t xml:space="preserve">Note: Prior to 2020, the CPI was used to </t>
  </si>
  <si>
    <t>Future</t>
  </si>
  <si>
    <t>MCQ Jobs</t>
  </si>
  <si>
    <t>Eden Projected financial Model</t>
  </si>
  <si>
    <t>AU$350</t>
  </si>
  <si>
    <t xml:space="preserve">over </t>
  </si>
  <si>
    <t>10 years</t>
  </si>
  <si>
    <t>Year Count</t>
  </si>
  <si>
    <t>Start Year</t>
  </si>
  <si>
    <t>AU Average CPI</t>
  </si>
  <si>
    <t>AU Interest Rate</t>
  </si>
  <si>
    <t>Eden $Mil</t>
  </si>
  <si>
    <r>
      <t xml:space="preserve">GBP </t>
    </r>
    <r>
      <rPr>
        <sz val="11"/>
        <color theme="1"/>
        <rFont val="Calibri"/>
        <family val="2"/>
      </rPr>
      <t xml:space="preserve">£ </t>
    </r>
    <r>
      <rPr>
        <sz val="11"/>
        <color theme="1"/>
        <rFont val="Calibri"/>
        <family val="2"/>
        <scheme val="minor"/>
      </rPr>
      <t>to AUD $ Conversion Rate</t>
    </r>
  </si>
  <si>
    <r>
      <t>DBP</t>
    </r>
    <r>
      <rPr>
        <sz val="11"/>
        <color theme="1"/>
        <rFont val="Calibri"/>
        <family val="2"/>
      </rPr>
      <t>£ to AUD$</t>
    </r>
  </si>
  <si>
    <t>Debt $Mil</t>
  </si>
  <si>
    <t>Million</t>
  </si>
  <si>
    <t>$Millions</t>
  </si>
  <si>
    <t>GVA compounding interest $Millions</t>
  </si>
  <si>
    <t>Rehab Debt Millions</t>
  </si>
  <si>
    <t>Eden GVA to MCQ Debt difference</t>
  </si>
  <si>
    <t>= Approx 13 million cubic metres</t>
  </si>
  <si>
    <t>= Approx 20 million cubic metres</t>
  </si>
  <si>
    <t>Year Rehabilitation Planning Started</t>
  </si>
  <si>
    <t>Estimated Surface Area Power Station</t>
  </si>
  <si>
    <t>$350 Million over 10 years</t>
  </si>
  <si>
    <t>As good as Eden Cornwall</t>
  </si>
  <si>
    <t>Construction Period</t>
  </si>
  <si>
    <t>18 to 24 months</t>
  </si>
  <si>
    <t>Predicted Future Return</t>
  </si>
  <si>
    <t>New Jobs Created</t>
  </si>
  <si>
    <t>Long term New Jobs</t>
  </si>
  <si>
    <t>Eden Rehabilitation Project Anglesea - Estimations</t>
  </si>
  <si>
    <t>Finish</t>
  </si>
  <si>
    <t>Brisbane City Budget</t>
  </si>
  <si>
    <t>Queensland Budget</t>
  </si>
  <si>
    <t>Queensland Debt</t>
  </si>
  <si>
    <t>$12,941 Mil</t>
  </si>
  <si>
    <t>$72,000 Mil</t>
  </si>
  <si>
    <t>$3,150 Mil</t>
  </si>
  <si>
    <t>Eden Total Cornwall GVA and Mt Coot-tha Quarry Total Debt</t>
  </si>
  <si>
    <t>2032*</t>
  </si>
  <si>
    <t>* 2032 is the current BCC Proposed Mt Coot-tha Quarry Closure Date.</t>
  </si>
  <si>
    <t>Eden Cornwall Area</t>
  </si>
  <si>
    <t>500 Full Time Jobs</t>
  </si>
  <si>
    <t>1300 Jobs</t>
  </si>
  <si>
    <t>Estimated Mine Surface Area (Lake=31ha)</t>
  </si>
  <si>
    <t>GVA (Gross Value Added)</t>
  </si>
  <si>
    <t>MCQ Blasting Statistics</t>
  </si>
  <si>
    <t>Total Number of blasts</t>
  </si>
  <si>
    <t>Since 2001</t>
  </si>
  <si>
    <t>Solid MCQ Rock</t>
  </si>
  <si>
    <t>21 million cubic metres</t>
  </si>
  <si>
    <t xml:space="preserve">Tonnes </t>
  </si>
  <si>
    <t>Count-back</t>
  </si>
  <si>
    <t>Hole Weight Millions</t>
  </si>
  <si>
    <t>Millions of</t>
  </si>
  <si>
    <t>Mined</t>
  </si>
  <si>
    <t>Estimated MCQ Jobs</t>
  </si>
  <si>
    <t>Sales</t>
  </si>
  <si>
    <t>Counted</t>
  </si>
  <si>
    <t>DES Maximum Blast Strength = 5mm/sec (90%) and 10mm/sec (10%)</t>
  </si>
  <si>
    <t>MCQ EA Maximum Blast Strength = 10mm/sec (90%) and unlimited (10%)</t>
  </si>
  <si>
    <t>Count</t>
  </si>
  <si>
    <t>&gt; 40</t>
  </si>
  <si>
    <t>10 - 15</t>
  </si>
  <si>
    <t>15 - 20</t>
  </si>
  <si>
    <t>20 - 25</t>
  </si>
  <si>
    <t>25 - 30</t>
  </si>
  <si>
    <t>30 - 35</t>
  </si>
  <si>
    <t>35 - 40</t>
  </si>
  <si>
    <t>Not Counted</t>
  </si>
  <si>
    <t>Thousands</t>
  </si>
  <si>
    <t xml:space="preserve">2. Total MCQ Surface Area ha </t>
  </si>
  <si>
    <t>Qld Globe - Absolute Total Mt Coot-tha Quarry (MCQ) Hole Size/Volume/Finance Estimates</t>
  </si>
  <si>
    <t>1. Total Hole Horizontal Map Area ha</t>
  </si>
  <si>
    <t>6. Total Extraction 2001-2010 (RTI)</t>
  </si>
  <si>
    <t xml:space="preserve"> - 2011: Enlisted Qld Treasurer Andrew Fraser to force the MCQ to begin monitoring near the closest homes, instead of only much further away.</t>
  </si>
  <si>
    <t xml:space="preserve"> - 2016: Measured the MCQ blasting noise generated inside the local homes. This was 500% more than the MCQ allowed maximum.</t>
  </si>
  <si>
    <t xml:space="preserve"> - 2017: Analysed the effect of the MCQ distant monitoring. The MCQ had previously been misreporting their blasts by 300%.</t>
  </si>
  <si>
    <t xml:space="preserve"> - 2018: Measured the blast vibrations inside private homes and found this to be 260% higher than what the MCQ was reporting.</t>
  </si>
  <si>
    <t>3. The non-compliance was reported to the BCC Lord Mayor Quirk, who simply "disengaged" the local residents.</t>
  </si>
  <si>
    <t>4. The MCLR are still working to stop the non-compliant activities which violently shake and damage the private residents homes &amp; health.</t>
  </si>
  <si>
    <t>5. All the MCLR ever wanted, was to be able to get on with our lives like other ordinary people. They cannot do this when homes get blasted.</t>
  </si>
  <si>
    <t>6. The real tragedy is the total lack of any separation zones to the MCLR, plus the massive increase in repair costs from neglected rehabilitation.</t>
  </si>
  <si>
    <t>7. The Brisbane City Council has repeatedly &amp; unaccountably caused several decades of extreme public parkland and tourism income damage.</t>
  </si>
  <si>
    <r>
      <t xml:space="preserve"> </t>
    </r>
    <r>
      <rPr>
        <i/>
        <sz val="11"/>
        <color theme="0" tint="-0.499984740745262"/>
        <rFont val="Calibri"/>
        <family val="2"/>
        <scheme val="minor"/>
      </rPr>
      <t>(GVA = Gross Value Added)</t>
    </r>
  </si>
  <si>
    <r>
      <rPr>
        <b/>
        <sz val="11"/>
        <rFont val="Calibri"/>
        <family val="2"/>
        <scheme val="minor"/>
      </rPr>
      <t xml:space="preserve">4. </t>
    </r>
    <r>
      <rPr>
        <sz val="11"/>
        <color theme="9" tint="-0.499984740745262"/>
        <rFont val="Calibri"/>
        <family val="2"/>
        <scheme val="minor"/>
      </rPr>
      <t xml:space="preserve"> </t>
    </r>
    <r>
      <rPr>
        <b/>
        <sz val="11"/>
        <color theme="9" tint="-0.499984740745262"/>
        <rFont val="Calibri"/>
        <family val="2"/>
        <scheme val="minor"/>
      </rPr>
      <t>$Billions Better Off:</t>
    </r>
    <r>
      <rPr>
        <sz val="11"/>
        <color theme="9" tint="-0.499984740745262"/>
        <rFont val="Calibri"/>
        <family val="2"/>
        <scheme val="minor"/>
      </rPr>
      <t xml:space="preserve"> </t>
    </r>
    <r>
      <rPr>
        <b/>
        <sz val="11"/>
        <color theme="9" tint="-0.499984740745262"/>
        <rFont val="Calibri"/>
        <family val="2"/>
        <scheme val="minor"/>
      </rPr>
      <t>Brisbane should have created an Eden Project and never blasted gravel from Brisbane's highly popular tourism precint.</t>
    </r>
  </si>
  <si>
    <r>
      <rPr>
        <b/>
        <sz val="11"/>
        <rFont val="Calibri"/>
        <family val="2"/>
        <scheme val="minor"/>
      </rPr>
      <t>5.</t>
    </r>
    <r>
      <rPr>
        <b/>
        <sz val="11"/>
        <color theme="1"/>
        <rFont val="Calibri"/>
        <family val="2"/>
        <scheme val="minor"/>
      </rPr>
      <t xml:space="preserve">  </t>
    </r>
    <r>
      <rPr>
        <b/>
        <sz val="11"/>
        <color rgb="FFC00000"/>
        <rFont val="Calibri"/>
        <family val="2"/>
        <scheme val="minor"/>
      </rPr>
      <t>Delayed Rehabilitation Secret Debt: The Final Rehab Costs increase greatly every year &amp; the more that Brisbane Ratepayers will Pay.</t>
    </r>
  </si>
  <si>
    <r>
      <rPr>
        <b/>
        <sz val="11"/>
        <rFont val="Calibri"/>
        <family val="2"/>
        <scheme val="minor"/>
      </rPr>
      <t xml:space="preserve">6.  </t>
    </r>
    <r>
      <rPr>
        <b/>
        <sz val="11"/>
        <color rgb="FF7030A0"/>
        <rFont val="Calibri"/>
        <family val="2"/>
        <scheme val="minor"/>
      </rPr>
      <t>Broken Promises:</t>
    </r>
    <r>
      <rPr>
        <sz val="11"/>
        <color theme="1"/>
        <rFont val="Calibri"/>
        <family val="2"/>
        <scheme val="minor"/>
      </rPr>
      <t xml:space="preserve"> Repeated strong valid arguments for MCQ close and rehabilitation, were ignored by Lord Mayors Newman &amp; Quirk.</t>
    </r>
  </si>
  <si>
    <t xml:space="preserve">2. CPI Annualise Roma St Cost to 2020 </t>
  </si>
  <si>
    <t xml:space="preserve">Mt Coot-tha Quarry (MCQ) Estimate Conclusions:  </t>
  </si>
  <si>
    <t>Estimate MCQ Rehab Debt from Roma St:</t>
  </si>
  <si>
    <r>
      <t xml:space="preserve">3. </t>
    </r>
    <r>
      <rPr>
        <b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Extra Surface Area &amp; 30% Contingency</t>
    </r>
  </si>
  <si>
    <t>4. Estimated MCQ Rehab Debt by 2020</t>
  </si>
  <si>
    <t>9% yearly</t>
  </si>
  <si>
    <r>
      <rPr>
        <b/>
        <sz val="11"/>
        <rFont val="Calibri"/>
        <family val="2"/>
        <scheme val="minor"/>
      </rPr>
      <t>3.</t>
    </r>
    <r>
      <rPr>
        <b/>
        <sz val="11"/>
        <color rgb="FF7030A0"/>
        <rFont val="Calibri"/>
        <family val="2"/>
        <scheme val="minor"/>
      </rPr>
      <t xml:space="preserve">  Eden Project Anglesea:  1300 new jobs (500 permanent), $350 Million GVA over 10 years. </t>
    </r>
    <r>
      <rPr>
        <b/>
        <i/>
        <sz val="11"/>
        <color rgb="FF7030A0"/>
        <rFont val="Calibri"/>
        <family val="2"/>
        <scheme val="minor"/>
      </rPr>
      <t>Predicted to become as popular as Eden Cornwall.</t>
    </r>
  </si>
  <si>
    <r>
      <rPr>
        <b/>
        <sz val="11"/>
        <rFont val="Calibri"/>
        <family val="2"/>
        <scheme val="minor"/>
      </rPr>
      <t>7.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1"/>
        <color rgb="FF7030A0"/>
        <rFont val="Calibri"/>
        <family val="2"/>
        <scheme val="minor"/>
      </rPr>
      <t>8 Million Truck Movements:</t>
    </r>
    <r>
      <rPr>
        <sz val="11"/>
        <color theme="1"/>
        <rFont val="Calibri"/>
        <family val="2"/>
        <scheme val="minor"/>
      </rPr>
      <t xml:space="preserve"> This is the estimate required to move all that gravel through city streets, out to the Swanbank Asphalt factorys.</t>
    </r>
  </si>
  <si>
    <r>
      <rPr>
        <b/>
        <sz val="11"/>
        <color theme="1"/>
        <rFont val="Calibri"/>
        <family val="2"/>
        <scheme val="minor"/>
      </rPr>
      <t xml:space="preserve">1.  </t>
    </r>
    <r>
      <rPr>
        <b/>
        <sz val="11"/>
        <color rgb="FFFF0000"/>
        <rFont val="Calibri"/>
        <family val="2"/>
        <scheme val="minor"/>
      </rPr>
      <t>2001-2032 Eden Project Cornwall:   Total GVA Income estimate = Double the Entire BCC 2019-2020 budget.</t>
    </r>
  </si>
  <si>
    <t>Weight of all rock exports</t>
  </si>
  <si>
    <t>Crushed Volume rock exports</t>
  </si>
  <si>
    <t>Estimated Mine Costs since 2001</t>
  </si>
  <si>
    <t>Estimated Mine-gate Value since 2001</t>
  </si>
  <si>
    <t>Estimated Sales Profit since 2001</t>
  </si>
  <si>
    <t>Verticle Surface Area</t>
  </si>
  <si>
    <t>&gt;10</t>
  </si>
  <si>
    <t>Private Home Blast Vibrations extrapolated from 1H2018 private home blast vibration measurements mm/sec particle velocity.</t>
  </si>
  <si>
    <t>&gt; 20</t>
  </si>
  <si>
    <t>&gt;15</t>
  </si>
  <si>
    <t>1. Get Final 16ha Roma St Parklands Costs</t>
  </si>
  <si>
    <t>Difference $Mil</t>
  </si>
  <si>
    <t>*</t>
  </si>
  <si>
    <t>* Total = $350 million after 10 years</t>
  </si>
  <si>
    <t>**</t>
  </si>
  <si>
    <t>** $ 1 Billion GVA and 8,000 jobs  after 23 years</t>
  </si>
  <si>
    <t>Economic Modelling AU$Millions using Average CPI</t>
  </si>
  <si>
    <t>Rehab Cost Estimate $Mil</t>
  </si>
  <si>
    <t>to 1900</t>
  </si>
  <si>
    <t>since 2002</t>
  </si>
  <si>
    <t>since 2001</t>
  </si>
  <si>
    <t>backwards</t>
  </si>
  <si>
    <t>5. Total 10T Truck Movements</t>
  </si>
  <si>
    <t>to &amp; from</t>
  </si>
  <si>
    <t>2001-2010</t>
  </si>
  <si>
    <t>Typical exported rock content</t>
  </si>
  <si>
    <t>10 year exported amount</t>
  </si>
  <si>
    <t>Average Annual Rock Export</t>
  </si>
  <si>
    <t>Brisbane RTI Extraction Data 2001-2010</t>
  </si>
  <si>
    <t>Total Blasts</t>
  </si>
  <si>
    <t>Average Rock/blast</t>
  </si>
  <si>
    <t>unused data</t>
  </si>
  <si>
    <t xml:space="preserve">Truck </t>
  </si>
  <si>
    <t>Movements</t>
  </si>
  <si>
    <t>Averages</t>
  </si>
  <si>
    <t>Blast areas 1-8 count</t>
  </si>
  <si>
    <t>Extrapolated 2012 Rock Tonnes</t>
  </si>
  <si>
    <t>Estimated 2012 design volume</t>
  </si>
  <si>
    <t>Robert Bell (MCQ Manager) Provided 2012 Mine Design Data</t>
  </si>
  <si>
    <t>The mine design values exceeded the estimated vaues by 19%, however may of these areas had large overburden amounts</t>
  </si>
  <si>
    <t>In this section we estimate the average tonnage per blast, which is then applied to the following decade</t>
  </si>
  <si>
    <t>Main Estimate Calculations</t>
  </si>
  <si>
    <t>In this section, we use the average values calculated from the RTI data.</t>
  </si>
  <si>
    <t>Knowing the exact number of blasts, we can calculate the estimated revenue amounts.</t>
  </si>
  <si>
    <t>Blast Numbers</t>
  </si>
  <si>
    <t>In this example we compared the mine design tonnage with the estimated tonnage</t>
  </si>
  <si>
    <r>
      <rPr>
        <b/>
        <sz val="11"/>
        <rFont val="Calibri"/>
        <family val="2"/>
        <scheme val="minor"/>
      </rPr>
      <t>2.</t>
    </r>
    <r>
      <rPr>
        <b/>
        <sz val="11"/>
        <color rgb="FFFF0000"/>
        <rFont val="Calibri"/>
        <family val="2"/>
        <scheme val="minor"/>
      </rPr>
      <t xml:space="preserve">  2001-2019 Eden Project Cornwall:   19 year GVA = Double all Mt Coot-tha Quarry estimated gravel commercial value since 1900 (that which was ever mined).</t>
    </r>
  </si>
  <si>
    <t>In this section we consider Cr Magub provided data.</t>
  </si>
  <si>
    <t>In this section we estimate the mine-gate road gravel price, after discussions with ther quaries.</t>
  </si>
  <si>
    <t>MCQ Rehab Debt</t>
  </si>
  <si>
    <t>This was then compared to the rapidly escalating rehabilitation cost debt.</t>
  </si>
  <si>
    <t>In this section, we have used the Amion Case Study report to create a MCQ lost benefit from tourism analysis.</t>
  </si>
  <si>
    <r>
      <t xml:space="preserve">The published Case Study Data says full Cornish financial benefit since 2001 = </t>
    </r>
    <r>
      <rPr>
        <sz val="12"/>
        <color theme="1"/>
        <rFont val="Calibri"/>
        <family val="2"/>
      </rPr>
      <t>£ 1 billion</t>
    </r>
  </si>
  <si>
    <t xml:space="preserve">Currency Conversion DBP£ to AUD$ </t>
  </si>
  <si>
    <t>Then we calculate the value added going forward towards 2032 and 2035, plus adding the interest earned.</t>
  </si>
  <si>
    <t>This is then compared to the rapidly increasing MCQ Rehabilitation debt.</t>
  </si>
  <si>
    <r>
      <t xml:space="preserve">In this section, we used the British CPI to back-calculate the estimated annual income, arriving at a compounded </t>
    </r>
    <r>
      <rPr>
        <sz val="11"/>
        <color theme="9" tint="-0.499984740745262"/>
        <rFont val="Calibri"/>
        <family val="2"/>
      </rPr>
      <t>£</t>
    </r>
    <r>
      <rPr>
        <i/>
        <sz val="11"/>
        <color theme="9" tint="-0.499984740745262"/>
        <rFont val="Calibri"/>
        <family val="2"/>
      </rPr>
      <t>1 Billion in 2018</t>
    </r>
    <r>
      <rPr>
        <i/>
        <sz val="11"/>
        <color theme="9" tint="-0.499984740745262"/>
        <rFont val="Calibri"/>
        <family val="2"/>
        <scheme val="minor"/>
      </rPr>
      <t>.</t>
    </r>
  </si>
  <si>
    <t>We chose to add a 30% Contingency due to the very hostile nature of the remaining hole (several kilometres of unstable 15m drop-offs).</t>
  </si>
  <si>
    <t>If the Cordell RP-Data CHIP Building Price Index was used, then the inflation values could be much higher (especially in the period before the GFC).</t>
  </si>
  <si>
    <t>If the Roma Street Rehab Cost was completed in 2030, then according to ABS CPI rates, it would have cost $152 million.</t>
  </si>
  <si>
    <t>In this section, we estimate the Roma St Parkland final $72 million cost, if it was completed in the years below.</t>
  </si>
  <si>
    <t>The inflation value is then upsized by the increased surface area, plus a 30% Contingency to allow for future blasting and difficult dangerous terrain.</t>
  </si>
  <si>
    <t>Increase</t>
  </si>
  <si>
    <t>Start Construction</t>
  </si>
  <si>
    <t>Start Planning</t>
  </si>
  <si>
    <t>End Construction</t>
  </si>
  <si>
    <t>Blasting</t>
  </si>
  <si>
    <t>+ 5% PA</t>
  </si>
  <si>
    <t>+ 10% PA</t>
  </si>
  <si>
    <t>Please note that if Historic Cordell RP-Data "CHIP" values were used, then the effect is expected to be far more aggressive.</t>
  </si>
  <si>
    <t>The Rehab Costs greatly exceed the gravel sales or internal use 'Profit'.</t>
  </si>
  <si>
    <t>Rehab Debt</t>
  </si>
  <si>
    <t>Net Profit</t>
  </si>
  <si>
    <t>after Rehab</t>
  </si>
  <si>
    <t>Zero, 5% and 10% Annual Hole Volume Increase Examples.</t>
  </si>
  <si>
    <t>Truck movements are an estimation of the trucks using &amp; damaging Brisbane Streets for decades.</t>
  </si>
  <si>
    <r>
      <t xml:space="preserve">Total Estimated MCQ UrbanTruck Movements = </t>
    </r>
    <r>
      <rPr>
        <b/>
        <u/>
        <sz val="11"/>
        <color rgb="FFFF0000"/>
        <rFont val="Calibri"/>
        <family val="2"/>
        <scheme val="minor"/>
      </rPr>
      <t>8 Million Truck Movements</t>
    </r>
    <r>
      <rPr>
        <b/>
        <sz val="11"/>
        <color rgb="FFFF0000"/>
        <rFont val="Calibri"/>
        <family val="2"/>
        <scheme val="minor"/>
      </rPr>
      <t xml:space="preserve"> (to and from MCQ).</t>
    </r>
  </si>
  <si>
    <t>CPI Sales</t>
  </si>
  <si>
    <t>Dec-2002 Approved Council Motion limiting the output to 400,000 tonnes is totally ignored.</t>
  </si>
  <si>
    <t>After Dec</t>
  </si>
  <si>
    <t>amount</t>
  </si>
  <si>
    <t>Tonnage</t>
  </si>
  <si>
    <t>Total Max</t>
  </si>
  <si>
    <t>This chart shows the Exact Extracted Tonnage as permitted by the Dec-2002 BCC Council Motion.</t>
  </si>
  <si>
    <t>The tonnage has decreased markedly since 2016 levels as the gravel mining costs increase.</t>
  </si>
  <si>
    <t>Highly visible area blasting causes a pernmanent scar on the famous "Brisbane Backdrop".</t>
  </si>
  <si>
    <t xml:space="preserve">Rehab </t>
  </si>
  <si>
    <t>+5% Hole</t>
  </si>
  <si>
    <t>Hole Size</t>
  </si>
  <si>
    <t>+10% Hole</t>
  </si>
  <si>
    <t>Starts</t>
  </si>
  <si>
    <t>1. There are several kilometres of unstable blasted 15m vertical dropoffs.</t>
  </si>
  <si>
    <t>3. The MCQ is continuing with blasting operations with no knowledge of where thy are heading.</t>
  </si>
  <si>
    <t>4. As of 2019, the MCQ has no financial or economic plan that exists on the BCC computer system.</t>
  </si>
  <si>
    <t>5. This estimation used the ABS CPI values, whilst the Cordell CHIP Index is considerably higher.</t>
  </si>
  <si>
    <t>6.  This estimation only allows for a solution similar to Roma St, however a better solution may be required.</t>
  </si>
  <si>
    <t>30% Contingency is required to handle unknown expenses.</t>
  </si>
  <si>
    <t>2. There is a lake at the bottom with an unknown depth and content (below sea level).</t>
  </si>
  <si>
    <t>7. The provision of a viable water supply will require additional costs.</t>
  </si>
  <si>
    <t>in 2020</t>
  </si>
  <si>
    <r>
      <rPr>
        <i/>
        <u/>
        <sz val="11"/>
        <color rgb="FFC00000"/>
        <rFont val="Calibri"/>
        <family val="2"/>
        <scheme val="minor"/>
      </rPr>
      <t>If Rehab</t>
    </r>
    <r>
      <rPr>
        <i/>
        <sz val="11"/>
        <color rgb="FFC00000"/>
        <rFont val="Calibri"/>
        <family val="2"/>
        <scheme val="minor"/>
      </rPr>
      <t xml:space="preserve"> </t>
    </r>
  </si>
  <si>
    <t xml:space="preserve">Reverse annualisation value reduction </t>
  </si>
  <si>
    <t>using ABS CPI Values (CHIP values would be greater)</t>
  </si>
  <si>
    <t>2002 LM Soorley Concil motion extended the closure date and</t>
  </si>
  <si>
    <t xml:space="preserve">limited the MCQ output to 400,000 tpa for 30 years. </t>
  </si>
  <si>
    <t>MCLR Belief: There is no economic case for continued destruction of prime Mt Coot-tha toursim precinct.</t>
  </si>
  <si>
    <t>MCLR Belief: Brisbane and QLD needs new rehabilitation &amp; ongoing parkland jobs now (not in 2032).</t>
  </si>
  <si>
    <t xml:space="preserve">Ansolute </t>
  </si>
  <si>
    <t>Maximum</t>
  </si>
  <si>
    <t>The actual annual amounts extracted reached 3 times the maximum allowable and greatly exceeded the allowed total.</t>
  </si>
  <si>
    <t>What Authority does the BCC Aggregates Department have, to exceed the lmits described in the Dec-2002 BCC Council Motion?</t>
  </si>
  <si>
    <t>http://www.SaveMtCoot-tha.org/ImagesDamage.htm</t>
  </si>
  <si>
    <t>MCLR belief: Continued Blasting and Mining in the Mt Coot-tha DOGIT tourist parkland = Economic Disaster.</t>
  </si>
  <si>
    <t>Accumulated Cornish Eden Project Gross Value Added (GVA) compared with the MCQ Rehab Debt.</t>
  </si>
  <si>
    <t>since 2000</t>
  </si>
  <si>
    <t>$Million</t>
  </si>
  <si>
    <t>$Billion</t>
  </si>
  <si>
    <t>Rehab Cost $Millions</t>
  </si>
  <si>
    <t>Lost Benefit (Eden Cornwall)</t>
  </si>
  <si>
    <t>Total Net Loss</t>
  </si>
  <si>
    <t>Total Net Loss/Tonne</t>
  </si>
  <si>
    <t>Total Net Loss/Blast</t>
  </si>
  <si>
    <t>Average Estimated Blast Output</t>
  </si>
  <si>
    <t>Dec 2002 Max</t>
  </si>
  <si>
    <t>Since December 2002 BCC Council Motion</t>
  </si>
  <si>
    <t>Remaining</t>
  </si>
  <si>
    <t>2002 BCC Planned</t>
  </si>
  <si>
    <t xml:space="preserve">Average Blast </t>
  </si>
  <si>
    <t>Operational Costs, Rehab &amp; Lost Benefit</t>
  </si>
  <si>
    <t>Estimated Remaining Net Loss</t>
  </si>
  <si>
    <t>Estimated Actual</t>
  </si>
  <si>
    <t>$ Costs</t>
  </si>
  <si>
    <t>Remaining Average Sized Blasts</t>
  </si>
  <si>
    <t>Planned Closure Date</t>
  </si>
  <si>
    <t>Southside Quarry cost</t>
  </si>
  <si>
    <t>Total Southside Quarry Cost</t>
  </si>
  <si>
    <t>Remaining Tonnage</t>
  </si>
  <si>
    <t>Estimated MCQ Operations 2003-2019</t>
  </si>
  <si>
    <t>Estimated Mine Output 2003-2019</t>
  </si>
  <si>
    <t>Southside Quarry Saving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</si>
</sst>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.00_);[Red]\(&quot;$&quot;#,##0.00\)"/>
    <numFmt numFmtId="165" formatCode="&quot;$&quot;#,##0"/>
    <numFmt numFmtId="166" formatCode="mmm\-yyyy"/>
    <numFmt numFmtId="167" formatCode="0.0;\-0.0;0.0;@"/>
    <numFmt numFmtId="168" formatCode="yyyy\-mm\-dd;@"/>
    <numFmt numFmtId="169" formatCode="0.0%"/>
    <numFmt numFmtId="170" formatCode="0.0"/>
    <numFmt numFmtId="171" formatCode="&quot;$&quot;#,##0.00"/>
    <numFmt numFmtId="172" formatCode="[$£-809]#,##0"/>
    <numFmt numFmtId="173" formatCode="&quot;$&quot;#,##0.000"/>
  </numFmts>
  <fonts count="7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b/>
      <u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sz val="8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color rgb="FF7030A0"/>
      <name val="Calibri"/>
      <family val="2"/>
      <scheme val="minor"/>
    </font>
    <font>
      <b/>
      <u/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  <font>
      <i/>
      <u/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i/>
      <u/>
      <sz val="11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</font>
    <font>
      <i/>
      <sz val="11"/>
      <color theme="9" tint="-0.499984740745262"/>
      <name val="Calibri"/>
      <family val="2"/>
    </font>
    <font>
      <u/>
      <sz val="11"/>
      <color rgb="FFC00000"/>
      <name val="Calibri"/>
      <family val="2"/>
      <scheme val="minor"/>
    </font>
    <font>
      <i/>
      <u/>
      <sz val="11"/>
      <color rgb="FFC00000"/>
      <name val="Calibri"/>
      <family val="2"/>
      <scheme val="minor"/>
    </font>
    <font>
      <b/>
      <i/>
      <u/>
      <sz val="11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u/>
      <sz val="11"/>
      <color theme="1" tint="0.1499984740745262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u/>
      <sz val="11"/>
      <color rgb="FF7030A0"/>
      <name val="Calibri"/>
      <family val="2"/>
      <scheme val="minor"/>
    </font>
    <font>
      <i/>
      <u/>
      <sz val="11"/>
      <color theme="4" tint="-0.249977111117893"/>
      <name val="Calibri"/>
      <family val="2"/>
      <scheme val="minor"/>
    </font>
    <font>
      <i/>
      <u/>
      <sz val="11"/>
      <color theme="0" tint="-0.499984740745262"/>
      <name val="Calibri"/>
      <family val="2"/>
      <scheme val="minor"/>
    </font>
    <font>
      <b/>
      <i/>
      <sz val="11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46" fillId="4" borderId="0" applyNumberFormat="0" applyBorder="0" applyAlignment="0" applyProtection="0"/>
  </cellStyleXfs>
  <cellXfs count="257">
    <xf numFmtId="0" fontId="0" fillId="0" borderId="0" xfId="0"/>
    <xf numFmtId="1" fontId="1" fillId="0" borderId="0" xfId="0" applyNumberFormat="1" applyFont="1"/>
    <xf numFmtId="1" fontId="0" fillId="0" borderId="0" xfId="0" applyNumberFormat="1"/>
    <xf numFmtId="2" fontId="0" fillId="0" borderId="0" xfId="0" applyNumberFormat="1"/>
    <xf numFmtId="1" fontId="3" fillId="0" borderId="0" xfId="0" applyNumberFormat="1" applyFont="1"/>
    <xf numFmtId="2" fontId="3" fillId="0" borderId="0" xfId="0" applyNumberFormat="1" applyFont="1"/>
    <xf numFmtId="10" fontId="0" fillId="0" borderId="0" xfId="0" applyNumberFormat="1"/>
    <xf numFmtId="0" fontId="3" fillId="0" borderId="0" xfId="0" applyFont="1"/>
    <xf numFmtId="2" fontId="4" fillId="0" borderId="0" xfId="0" applyNumberFormat="1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0" fillId="0" borderId="0" xfId="0" applyFont="1"/>
    <xf numFmtId="0" fontId="1" fillId="0" borderId="0" xfId="0" quotePrefix="1" applyFont="1"/>
    <xf numFmtId="0" fontId="7" fillId="0" borderId="0" xfId="0" applyFont="1"/>
    <xf numFmtId="0" fontId="10" fillId="0" borderId="0" xfId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/>
    <xf numFmtId="0" fontId="13" fillId="0" borderId="0" xfId="0" applyFont="1"/>
    <xf numFmtId="3" fontId="0" fillId="0" borderId="0" xfId="0" applyNumberFormat="1"/>
    <xf numFmtId="1" fontId="4" fillId="0" borderId="0" xfId="0" applyNumberFormat="1" applyFont="1"/>
    <xf numFmtId="9" fontId="0" fillId="0" borderId="0" xfId="0" applyNumberFormat="1"/>
    <xf numFmtId="0" fontId="12" fillId="0" borderId="0" xfId="0" applyFont="1" applyAlignment="1">
      <alignment horizontal="right"/>
    </xf>
    <xf numFmtId="3" fontId="3" fillId="0" borderId="0" xfId="0" applyNumberFormat="1" applyFont="1"/>
    <xf numFmtId="3" fontId="0" fillId="0" borderId="0" xfId="0" applyNumberFormat="1" applyFont="1"/>
    <xf numFmtId="3" fontId="4" fillId="0" borderId="0" xfId="0" applyNumberFormat="1" applyFont="1"/>
    <xf numFmtId="2" fontId="0" fillId="0" borderId="0" xfId="0" applyNumberFormat="1" applyFont="1"/>
    <xf numFmtId="3" fontId="5" fillId="0" borderId="0" xfId="0" applyNumberFormat="1" applyFont="1"/>
    <xf numFmtId="3" fontId="12" fillId="0" borderId="0" xfId="0" applyNumberFormat="1" applyFont="1"/>
    <xf numFmtId="0" fontId="12" fillId="0" borderId="0" xfId="0" applyFont="1"/>
    <xf numFmtId="10" fontId="12" fillId="0" borderId="0" xfId="0" applyNumberFormat="1" applyFont="1"/>
    <xf numFmtId="1" fontId="13" fillId="0" borderId="0" xfId="0" applyNumberFormat="1" applyFont="1"/>
    <xf numFmtId="0" fontId="14" fillId="0" borderId="0" xfId="0" applyFont="1"/>
    <xf numFmtId="165" fontId="13" fillId="0" borderId="0" xfId="0" applyNumberFormat="1" applyFont="1"/>
    <xf numFmtId="0" fontId="1" fillId="0" borderId="0" xfId="0" applyFont="1" applyAlignment="1">
      <alignment horizontal="right"/>
    </xf>
    <xf numFmtId="3" fontId="13" fillId="0" borderId="0" xfId="0" applyNumberFormat="1" applyFont="1"/>
    <xf numFmtId="0" fontId="0" fillId="0" borderId="0" xfId="0" quotePrefix="1"/>
    <xf numFmtId="0" fontId="16" fillId="0" borderId="0" xfId="0" applyFont="1"/>
    <xf numFmtId="0" fontId="18" fillId="0" borderId="0" xfId="0" applyFont="1"/>
    <xf numFmtId="0" fontId="17" fillId="0" borderId="0" xfId="0" applyFont="1"/>
    <xf numFmtId="166" fontId="18" fillId="0" borderId="0" xfId="0" applyNumberFormat="1" applyFont="1"/>
    <xf numFmtId="166" fontId="17" fillId="0" borderId="0" xfId="0" applyNumberFormat="1" applyFont="1"/>
    <xf numFmtId="167" fontId="17" fillId="0" borderId="0" xfId="0" applyNumberFormat="1" applyFont="1"/>
    <xf numFmtId="14" fontId="0" fillId="0" borderId="0" xfId="0" applyNumberFormat="1"/>
    <xf numFmtId="168" fontId="17" fillId="0" borderId="0" xfId="0" applyNumberFormat="1" applyFont="1" applyAlignment="1">
      <alignment horizontal="left"/>
    </xf>
    <xf numFmtId="0" fontId="0" fillId="0" borderId="0" xfId="0"/>
    <xf numFmtId="0" fontId="17" fillId="0" borderId="0" xfId="0" applyFont="1" applyAlignment="1">
      <alignment wrapText="1"/>
    </xf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166" fontId="17" fillId="0" borderId="0" xfId="0" applyNumberFormat="1" applyFont="1" applyAlignment="1">
      <alignment horizontal="left"/>
    </xf>
    <xf numFmtId="0" fontId="20" fillId="0" borderId="0" xfId="0" applyFont="1"/>
    <xf numFmtId="3" fontId="20" fillId="0" borderId="0" xfId="0" applyNumberFormat="1" applyFont="1"/>
    <xf numFmtId="4" fontId="0" fillId="0" borderId="0" xfId="0" applyNumberFormat="1"/>
    <xf numFmtId="4" fontId="1" fillId="0" borderId="0" xfId="0" applyNumberFormat="1" applyFont="1"/>
    <xf numFmtId="0" fontId="22" fillId="0" borderId="0" xfId="0" applyFont="1"/>
    <xf numFmtId="0" fontId="0" fillId="0" borderId="0" xfId="0" applyAlignment="1">
      <alignment horizontal="left"/>
    </xf>
    <xf numFmtId="4" fontId="22" fillId="0" borderId="0" xfId="0" applyNumberFormat="1" applyFont="1"/>
    <xf numFmtId="1" fontId="0" fillId="0" borderId="0" xfId="0" applyNumberFormat="1" applyAlignment="1">
      <alignment horizontal="right"/>
    </xf>
    <xf numFmtId="3" fontId="1" fillId="0" borderId="0" xfId="0" applyNumberFormat="1" applyFont="1"/>
    <xf numFmtId="0" fontId="23" fillId="0" borderId="0" xfId="0" applyFont="1"/>
    <xf numFmtId="169" fontId="0" fillId="0" borderId="0" xfId="0" applyNumberFormat="1"/>
    <xf numFmtId="169" fontId="17" fillId="0" borderId="0" xfId="0" applyNumberFormat="1" applyFont="1"/>
    <xf numFmtId="170" fontId="1" fillId="0" borderId="0" xfId="0" applyNumberFormat="1" applyFont="1"/>
    <xf numFmtId="4" fontId="16" fillId="0" borderId="0" xfId="0" applyNumberFormat="1" applyFont="1"/>
    <xf numFmtId="3" fontId="24" fillId="0" borderId="0" xfId="0" applyNumberFormat="1" applyFont="1"/>
    <xf numFmtId="0" fontId="25" fillId="0" borderId="0" xfId="0" applyFont="1"/>
    <xf numFmtId="0" fontId="26" fillId="0" borderId="0" xfId="0" applyFont="1"/>
    <xf numFmtId="1" fontId="25" fillId="0" borderId="0" xfId="0" applyNumberFormat="1" applyFont="1"/>
    <xf numFmtId="10" fontId="0" fillId="0" borderId="0" xfId="0" applyNumberFormat="1" applyAlignment="1">
      <alignment horizontal="right"/>
    </xf>
    <xf numFmtId="3" fontId="27" fillId="0" borderId="0" xfId="0" applyNumberFormat="1" applyFont="1"/>
    <xf numFmtId="3" fontId="6" fillId="0" borderId="0" xfId="0" applyNumberFormat="1" applyFont="1"/>
    <xf numFmtId="0" fontId="15" fillId="0" borderId="0" xfId="0" applyFont="1"/>
    <xf numFmtId="1" fontId="3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24" fillId="0" borderId="0" xfId="0" applyFont="1"/>
    <xf numFmtId="170" fontId="0" fillId="0" borderId="0" xfId="0" applyNumberFormat="1"/>
    <xf numFmtId="0" fontId="28" fillId="0" borderId="0" xfId="0" applyFont="1"/>
    <xf numFmtId="164" fontId="25" fillId="0" borderId="0" xfId="0" applyNumberFormat="1" applyFont="1"/>
    <xf numFmtId="1" fontId="24" fillId="0" borderId="0" xfId="0" applyNumberFormat="1" applyFont="1"/>
    <xf numFmtId="0" fontId="0" fillId="0" borderId="0" xfId="0" quotePrefix="1" applyFont="1"/>
    <xf numFmtId="0" fontId="22" fillId="0" borderId="0" xfId="0" applyFont="1" applyAlignment="1">
      <alignment horizontal="right"/>
    </xf>
    <xf numFmtId="4" fontId="29" fillId="0" borderId="0" xfId="0" applyNumberFormat="1" applyFont="1"/>
    <xf numFmtId="4" fontId="30" fillId="0" borderId="0" xfId="0" applyNumberFormat="1" applyFont="1"/>
    <xf numFmtId="3" fontId="31" fillId="0" borderId="0" xfId="0" applyNumberFormat="1" applyFont="1"/>
    <xf numFmtId="3" fontId="0" fillId="2" borderId="0" xfId="0" applyNumberFormat="1" applyFill="1"/>
    <xf numFmtId="0" fontId="24" fillId="2" borderId="0" xfId="0" applyFont="1" applyFill="1"/>
    <xf numFmtId="2" fontId="31" fillId="0" borderId="0" xfId="0" quotePrefix="1" applyNumberFormat="1" applyFont="1"/>
    <xf numFmtId="10" fontId="31" fillId="0" borderId="0" xfId="0" quotePrefix="1" applyNumberFormat="1" applyFont="1"/>
    <xf numFmtId="0" fontId="14" fillId="0" borderId="0" xfId="0" applyFont="1" applyAlignment="1">
      <alignment horizontal="right"/>
    </xf>
    <xf numFmtId="165" fontId="0" fillId="0" borderId="0" xfId="0" applyNumberFormat="1"/>
    <xf numFmtId="0" fontId="27" fillId="0" borderId="0" xfId="0" applyFont="1" applyAlignment="1">
      <alignment horizontal="left"/>
    </xf>
    <xf numFmtId="165" fontId="24" fillId="0" borderId="0" xfId="0" applyNumberFormat="1" applyFont="1"/>
    <xf numFmtId="3" fontId="24" fillId="3" borderId="0" xfId="0" applyNumberFormat="1" applyFont="1" applyFill="1"/>
    <xf numFmtId="4" fontId="0" fillId="3" borderId="0" xfId="0" applyNumberFormat="1" applyFill="1"/>
    <xf numFmtId="0" fontId="0" fillId="0" borderId="0" xfId="0" applyFont="1" applyAlignment="1">
      <alignment horizontal="left"/>
    </xf>
    <xf numFmtId="4" fontId="31" fillId="0" borderId="0" xfId="0" applyNumberFormat="1" applyFont="1"/>
    <xf numFmtId="0" fontId="32" fillId="0" borderId="0" xfId="0" applyFont="1"/>
    <xf numFmtId="0" fontId="33" fillId="0" borderId="0" xfId="0" applyFont="1"/>
    <xf numFmtId="0" fontId="29" fillId="0" borderId="0" xfId="0" applyFont="1"/>
    <xf numFmtId="165" fontId="30" fillId="0" borderId="0" xfId="0" applyNumberFormat="1" applyFont="1"/>
    <xf numFmtId="0" fontId="30" fillId="0" borderId="0" xfId="0" applyFont="1"/>
    <xf numFmtId="3" fontId="34" fillId="0" borderId="0" xfId="0" applyNumberFormat="1" applyFont="1"/>
    <xf numFmtId="0" fontId="35" fillId="0" borderId="0" xfId="0" applyFont="1"/>
    <xf numFmtId="171" fontId="20" fillId="0" borderId="0" xfId="0" applyNumberFormat="1" applyFont="1"/>
    <xf numFmtId="0" fontId="36" fillId="0" borderId="0" xfId="0" applyFont="1"/>
    <xf numFmtId="0" fontId="37" fillId="0" borderId="0" xfId="0" applyFont="1"/>
    <xf numFmtId="2" fontId="20" fillId="0" borderId="0" xfId="0" applyNumberFormat="1" applyFont="1"/>
    <xf numFmtId="1" fontId="20" fillId="0" borderId="0" xfId="0" applyNumberFormat="1" applyFont="1"/>
    <xf numFmtId="2" fontId="35" fillId="0" borderId="0" xfId="1" applyNumberFormat="1" applyFont="1"/>
    <xf numFmtId="2" fontId="14" fillId="0" borderId="0" xfId="0" applyNumberFormat="1" applyFont="1"/>
    <xf numFmtId="49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right"/>
    </xf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3" fontId="39" fillId="0" borderId="0" xfId="0" applyNumberFormat="1" applyFont="1"/>
    <xf numFmtId="1" fontId="39" fillId="0" borderId="0" xfId="0" applyNumberFormat="1" applyFont="1"/>
    <xf numFmtId="170" fontId="39" fillId="0" borderId="0" xfId="0" applyNumberFormat="1" applyFont="1"/>
    <xf numFmtId="0" fontId="42" fillId="0" borderId="0" xfId="0" applyFont="1"/>
    <xf numFmtId="0" fontId="39" fillId="0" borderId="0" xfId="0" quotePrefix="1" applyFont="1"/>
    <xf numFmtId="2" fontId="39" fillId="0" borderId="0" xfId="0" applyNumberFormat="1" applyFont="1"/>
    <xf numFmtId="0" fontId="41" fillId="0" borderId="0" xfId="0" applyFont="1" applyAlignment="1">
      <alignment horizontal="left"/>
    </xf>
    <xf numFmtId="165" fontId="1" fillId="0" borderId="0" xfId="0" applyNumberFormat="1" applyFont="1"/>
    <xf numFmtId="165" fontId="0" fillId="0" borderId="0" xfId="0" quotePrefix="1" applyNumberFormat="1"/>
    <xf numFmtId="0" fontId="43" fillId="0" borderId="0" xfId="0" applyFont="1"/>
    <xf numFmtId="165" fontId="45" fillId="0" borderId="0" xfId="0" applyNumberFormat="1" applyFont="1"/>
    <xf numFmtId="0" fontId="41" fillId="0" borderId="0" xfId="0" applyFont="1" applyAlignment="1">
      <alignment horizontal="right"/>
    </xf>
    <xf numFmtId="165" fontId="12" fillId="0" borderId="0" xfId="0" applyNumberFormat="1" applyFont="1"/>
    <xf numFmtId="9" fontId="0" fillId="0" borderId="0" xfId="0" applyNumberFormat="1" applyFont="1"/>
    <xf numFmtId="172" fontId="0" fillId="0" borderId="0" xfId="0" applyNumberFormat="1"/>
    <xf numFmtId="0" fontId="3" fillId="0" borderId="0" xfId="0" applyNumberFormat="1" applyFont="1"/>
    <xf numFmtId="10" fontId="43" fillId="0" borderId="0" xfId="0" applyNumberFormat="1" applyFont="1"/>
    <xf numFmtId="171" fontId="0" fillId="0" borderId="0" xfId="0" applyNumberFormat="1"/>
    <xf numFmtId="0" fontId="48" fillId="0" borderId="0" xfId="0" applyFont="1"/>
    <xf numFmtId="0" fontId="22" fillId="0" borderId="0" xfId="0" quotePrefix="1" applyFont="1"/>
    <xf numFmtId="0" fontId="49" fillId="0" borderId="0" xfId="0" applyFont="1"/>
    <xf numFmtId="0" fontId="46" fillId="4" borderId="0" xfId="2"/>
    <xf numFmtId="171" fontId="46" fillId="4" borderId="0" xfId="2" applyNumberFormat="1"/>
    <xf numFmtId="165" fontId="37" fillId="0" borderId="0" xfId="0" applyNumberFormat="1" applyFont="1"/>
    <xf numFmtId="165" fontId="29" fillId="0" borderId="0" xfId="0" applyNumberFormat="1" applyFont="1"/>
    <xf numFmtId="165" fontId="50" fillId="0" borderId="0" xfId="0" applyNumberFormat="1" applyFont="1"/>
    <xf numFmtId="0" fontId="47" fillId="0" borderId="0" xfId="0" applyFont="1" applyAlignment="1">
      <alignment horizontal="right"/>
    </xf>
    <xf numFmtId="9" fontId="12" fillId="0" borderId="0" xfId="0" applyNumberFormat="1" applyFont="1" applyAlignment="1">
      <alignment horizontal="right"/>
    </xf>
    <xf numFmtId="1" fontId="43" fillId="0" borderId="0" xfId="0" applyNumberFormat="1" applyFont="1"/>
    <xf numFmtId="0" fontId="0" fillId="0" borderId="0" xfId="0" quotePrefix="1" applyAlignment="1">
      <alignment horizontal="right"/>
    </xf>
    <xf numFmtId="9" fontId="13" fillId="0" borderId="0" xfId="0" applyNumberFormat="1" applyFont="1"/>
    <xf numFmtId="49" fontId="3" fillId="0" borderId="0" xfId="0" applyNumberFormat="1" applyFont="1"/>
    <xf numFmtId="0" fontId="13" fillId="0" borderId="0" xfId="0" applyFont="1" applyAlignment="1">
      <alignment horizontal="left"/>
    </xf>
    <xf numFmtId="0" fontId="51" fillId="0" borderId="0" xfId="0" applyFont="1"/>
    <xf numFmtId="0" fontId="31" fillId="0" borderId="0" xfId="0" applyFont="1"/>
    <xf numFmtId="0" fontId="0" fillId="0" borderId="0" xfId="0" quotePrefix="1" applyFont="1" applyAlignment="1">
      <alignment horizontal="right"/>
    </xf>
    <xf numFmtId="0" fontId="53" fillId="0" borderId="0" xfId="0" applyFont="1"/>
    <xf numFmtId="165" fontId="12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right"/>
    </xf>
    <xf numFmtId="9" fontId="12" fillId="0" borderId="0" xfId="0" applyNumberFormat="1" applyFont="1"/>
    <xf numFmtId="0" fontId="55" fillId="0" borderId="0" xfId="0" applyFont="1"/>
    <xf numFmtId="0" fontId="28" fillId="0" borderId="0" xfId="0" applyFont="1" applyAlignment="1">
      <alignment horizontal="right"/>
    </xf>
    <xf numFmtId="49" fontId="0" fillId="0" borderId="0" xfId="0" applyNumberFormat="1" applyFont="1"/>
    <xf numFmtId="0" fontId="30" fillId="0" borderId="0" xfId="0" applyFont="1" applyAlignment="1">
      <alignment horizontal="right"/>
    </xf>
    <xf numFmtId="169" fontId="12" fillId="0" borderId="0" xfId="0" applyNumberFormat="1" applyFont="1"/>
    <xf numFmtId="0" fontId="13" fillId="0" borderId="0" xfId="0" applyFont="1" applyAlignment="1">
      <alignment horizontal="right"/>
    </xf>
    <xf numFmtId="1" fontId="31" fillId="0" borderId="0" xfId="0" applyNumberFormat="1" applyFont="1" applyAlignment="1">
      <alignment horizontal="right"/>
    </xf>
    <xf numFmtId="1" fontId="31" fillId="0" borderId="0" xfId="0" applyNumberFormat="1" applyFont="1"/>
    <xf numFmtId="2" fontId="31" fillId="0" borderId="0" xfId="0" applyNumberFormat="1" applyFont="1"/>
    <xf numFmtId="1" fontId="56" fillId="0" borderId="0" xfId="0" applyNumberFormat="1" applyFont="1"/>
    <xf numFmtId="9" fontId="24" fillId="0" borderId="0" xfId="0" applyNumberFormat="1" applyFont="1"/>
    <xf numFmtId="3" fontId="57" fillId="0" borderId="0" xfId="0" applyNumberFormat="1" applyFont="1"/>
    <xf numFmtId="1" fontId="58" fillId="0" borderId="0" xfId="0" applyNumberFormat="1" applyFont="1"/>
    <xf numFmtId="0" fontId="56" fillId="0" borderId="0" xfId="0" applyFont="1" applyAlignment="1">
      <alignment horizontal="right"/>
    </xf>
    <xf numFmtId="0" fontId="59" fillId="0" borderId="0" xfId="0" applyFont="1"/>
    <xf numFmtId="2" fontId="59" fillId="0" borderId="0" xfId="0" applyNumberFormat="1" applyFont="1"/>
    <xf numFmtId="0" fontId="60" fillId="0" borderId="0" xfId="0" applyFont="1"/>
    <xf numFmtId="0" fontId="60" fillId="0" borderId="0" xfId="0" applyFont="1" applyAlignment="1">
      <alignment horizontal="right"/>
    </xf>
    <xf numFmtId="0" fontId="61" fillId="0" borderId="0" xfId="0" applyFont="1"/>
    <xf numFmtId="173" fontId="0" fillId="0" borderId="0" xfId="0" applyNumberFormat="1"/>
    <xf numFmtId="4" fontId="12" fillId="0" borderId="0" xfId="0" applyNumberFormat="1" applyFont="1"/>
    <xf numFmtId="4" fontId="13" fillId="0" borderId="0" xfId="0" applyNumberFormat="1" applyFont="1"/>
    <xf numFmtId="4" fontId="24" fillId="0" borderId="0" xfId="0" applyNumberFormat="1" applyFont="1"/>
    <xf numFmtId="0" fontId="65" fillId="0" borderId="0" xfId="0" applyFont="1" applyAlignment="1">
      <alignment horizontal="right"/>
    </xf>
    <xf numFmtId="0" fontId="65" fillId="0" borderId="0" xfId="0" applyFont="1"/>
    <xf numFmtId="0" fontId="67" fillId="0" borderId="0" xfId="0" applyFont="1"/>
    <xf numFmtId="0" fontId="68" fillId="0" borderId="0" xfId="0" applyFont="1"/>
    <xf numFmtId="0" fontId="64" fillId="0" borderId="0" xfId="0" applyFont="1" applyAlignment="1">
      <alignment horizontal="right"/>
    </xf>
    <xf numFmtId="4" fontId="24" fillId="3" borderId="0" xfId="0" applyNumberFormat="1" applyFont="1" applyFill="1"/>
    <xf numFmtId="1" fontId="16" fillId="0" borderId="0" xfId="0" applyNumberFormat="1" applyFont="1"/>
    <xf numFmtId="0" fontId="16" fillId="0" borderId="0" xfId="0" applyFont="1" applyAlignment="1">
      <alignment horizontal="right"/>
    </xf>
    <xf numFmtId="3" fontId="69" fillId="0" borderId="0" xfId="0" applyNumberFormat="1" applyFont="1"/>
    <xf numFmtId="3" fontId="16" fillId="0" borderId="0" xfId="0" applyNumberFormat="1" applyFont="1"/>
    <xf numFmtId="1" fontId="70" fillId="0" borderId="0" xfId="0" applyNumberFormat="1" applyFont="1"/>
    <xf numFmtId="1" fontId="54" fillId="0" borderId="0" xfId="0" applyNumberFormat="1" applyFont="1"/>
    <xf numFmtId="1" fontId="71" fillId="0" borderId="0" xfId="0" applyNumberFormat="1" applyFont="1"/>
    <xf numFmtId="2" fontId="16" fillId="0" borderId="0" xfId="0" applyNumberFormat="1" applyFont="1"/>
    <xf numFmtId="4" fontId="20" fillId="0" borderId="0" xfId="0" applyNumberFormat="1" applyFont="1"/>
    <xf numFmtId="0" fontId="22" fillId="5" borderId="0" xfId="0" applyFont="1" applyFill="1" applyAlignment="1">
      <alignment horizontal="right"/>
    </xf>
    <xf numFmtId="0" fontId="47" fillId="5" borderId="0" xfId="0" quotePrefix="1" applyFont="1" applyFill="1" applyAlignment="1">
      <alignment horizontal="right"/>
    </xf>
    <xf numFmtId="0" fontId="47" fillId="5" borderId="0" xfId="0" applyFont="1" applyFill="1" applyAlignment="1">
      <alignment horizontal="right"/>
    </xf>
    <xf numFmtId="9" fontId="22" fillId="5" borderId="0" xfId="0" quotePrefix="1" applyNumberFormat="1" applyFont="1" applyFill="1" applyAlignment="1">
      <alignment horizontal="right"/>
    </xf>
    <xf numFmtId="0" fontId="65" fillId="5" borderId="0" xfId="0" applyFont="1" applyFill="1" applyAlignment="1">
      <alignment horizontal="right"/>
    </xf>
    <xf numFmtId="0" fontId="0" fillId="5" borderId="0" xfId="0" applyFill="1"/>
    <xf numFmtId="0" fontId="14" fillId="5" borderId="0" xfId="0" applyFont="1" applyFill="1" applyAlignment="1">
      <alignment horizontal="right"/>
    </xf>
    <xf numFmtId="4" fontId="24" fillId="5" borderId="0" xfId="0" applyNumberFormat="1" applyFont="1" applyFill="1"/>
    <xf numFmtId="10" fontId="0" fillId="5" borderId="0" xfId="0" applyNumberFormat="1" applyFill="1"/>
    <xf numFmtId="4" fontId="25" fillId="5" borderId="0" xfId="0" applyNumberFormat="1" applyFont="1" applyFill="1"/>
    <xf numFmtId="0" fontId="22" fillId="6" borderId="0" xfId="0" applyFont="1" applyFill="1" applyAlignment="1">
      <alignment horizontal="right"/>
    </xf>
    <xf numFmtId="0" fontId="47" fillId="6" borderId="0" xfId="0" quotePrefix="1" applyFont="1" applyFill="1" applyAlignment="1">
      <alignment horizontal="right"/>
    </xf>
    <xf numFmtId="0" fontId="47" fillId="6" borderId="0" xfId="0" applyFont="1" applyFill="1" applyAlignment="1">
      <alignment horizontal="right"/>
    </xf>
    <xf numFmtId="9" fontId="22" fillId="6" borderId="0" xfId="0" quotePrefix="1" applyNumberFormat="1" applyFont="1" applyFill="1"/>
    <xf numFmtId="0" fontId="65" fillId="6" borderId="0" xfId="0" applyFont="1" applyFill="1" applyAlignment="1">
      <alignment horizontal="right"/>
    </xf>
    <xf numFmtId="0" fontId="0" fillId="6" borderId="0" xfId="0" applyFill="1"/>
    <xf numFmtId="0" fontId="14" fillId="6" borderId="0" xfId="0" applyFont="1" applyFill="1" applyAlignment="1">
      <alignment horizontal="right"/>
    </xf>
    <xf numFmtId="4" fontId="0" fillId="6" borderId="0" xfId="0" applyNumberFormat="1" applyFill="1"/>
    <xf numFmtId="4" fontId="24" fillId="6" borderId="0" xfId="0" applyNumberFormat="1" applyFont="1" applyFill="1"/>
    <xf numFmtId="10" fontId="0" fillId="6" borderId="0" xfId="0" applyNumberFormat="1" applyFill="1"/>
    <xf numFmtId="4" fontId="25" fillId="6" borderId="0" xfId="0" applyNumberFormat="1" applyFont="1" applyFill="1"/>
    <xf numFmtId="4" fontId="0" fillId="7" borderId="0" xfId="0" applyNumberFormat="1" applyFill="1"/>
    <xf numFmtId="4" fontId="24" fillId="8" borderId="0" xfId="0" applyNumberFormat="1" applyFont="1" applyFill="1"/>
    <xf numFmtId="4" fontId="31" fillId="8" borderId="0" xfId="0" applyNumberFormat="1" applyFont="1" applyFill="1"/>
    <xf numFmtId="0" fontId="0" fillId="8" borderId="0" xfId="0" applyFill="1"/>
    <xf numFmtId="4" fontId="25" fillId="8" borderId="0" xfId="0" applyNumberFormat="1" applyFont="1" applyFill="1"/>
    <xf numFmtId="0" fontId="65" fillId="8" borderId="0" xfId="0" applyFont="1" applyFill="1" applyAlignment="1">
      <alignment horizontal="right"/>
    </xf>
    <xf numFmtId="9" fontId="25" fillId="2" borderId="0" xfId="0" applyNumberFormat="1" applyFont="1" applyFill="1"/>
    <xf numFmtId="0" fontId="1" fillId="2" borderId="0" xfId="0" applyFont="1" applyFill="1"/>
    <xf numFmtId="0" fontId="32" fillId="8" borderId="0" xfId="0" applyFont="1" applyFill="1"/>
    <xf numFmtId="0" fontId="72" fillId="8" borderId="0" xfId="0" applyFont="1" applyFill="1" applyAlignment="1">
      <alignment horizontal="right"/>
    </xf>
    <xf numFmtId="0" fontId="16" fillId="8" borderId="0" xfId="0" applyFont="1" applyFill="1"/>
    <xf numFmtId="0" fontId="73" fillId="0" borderId="0" xfId="0" applyFont="1"/>
    <xf numFmtId="10" fontId="55" fillId="0" borderId="0" xfId="0" applyNumberFormat="1" applyFont="1" applyAlignment="1">
      <alignment horizontal="right"/>
    </xf>
    <xf numFmtId="0" fontId="55" fillId="0" borderId="0" xfId="0" applyFont="1" applyAlignment="1">
      <alignment horizontal="right"/>
    </xf>
    <xf numFmtId="0" fontId="65" fillId="8" borderId="0" xfId="0" applyNumberFormat="1" applyFont="1" applyFill="1" applyAlignment="1">
      <alignment horizontal="right"/>
    </xf>
    <xf numFmtId="10" fontId="22" fillId="0" borderId="0" xfId="0" applyNumberFormat="1" applyFont="1" applyAlignment="1">
      <alignment horizontal="right"/>
    </xf>
    <xf numFmtId="0" fontId="28" fillId="2" borderId="0" xfId="0" applyFont="1" applyFill="1"/>
    <xf numFmtId="0" fontId="0" fillId="2" borderId="0" xfId="0" applyFill="1"/>
    <xf numFmtId="3" fontId="22" fillId="0" borderId="0" xfId="0" applyNumberFormat="1" applyFont="1"/>
    <xf numFmtId="165" fontId="22" fillId="0" borderId="0" xfId="0" applyNumberFormat="1" applyFont="1"/>
    <xf numFmtId="1" fontId="60" fillId="0" borderId="0" xfId="0" applyNumberFormat="1" applyFont="1" applyAlignment="1">
      <alignment horizontal="right"/>
    </xf>
    <xf numFmtId="1" fontId="60" fillId="0" borderId="0" xfId="0" applyNumberFormat="1" applyFont="1"/>
    <xf numFmtId="1" fontId="74" fillId="0" borderId="0" xfId="0" applyNumberFormat="1" applyFont="1" applyAlignment="1">
      <alignment horizontal="right"/>
    </xf>
    <xf numFmtId="0" fontId="75" fillId="0" borderId="0" xfId="0" applyFont="1" applyAlignment="1">
      <alignment horizontal="right"/>
    </xf>
    <xf numFmtId="2" fontId="60" fillId="0" borderId="0" xfId="0" applyNumberFormat="1" applyFont="1" applyAlignment="1">
      <alignment horizontal="right"/>
    </xf>
    <xf numFmtId="17" fontId="22" fillId="0" borderId="0" xfId="0" applyNumberFormat="1" applyFont="1"/>
    <xf numFmtId="0" fontId="47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3" fontId="25" fillId="0" borderId="0" xfId="0" applyNumberFormat="1" applyFont="1"/>
    <xf numFmtId="0" fontId="66" fillId="0" borderId="0" xfId="0" applyFont="1" applyAlignment="1">
      <alignment horizontal="right"/>
    </xf>
    <xf numFmtId="0" fontId="76" fillId="0" borderId="0" xfId="0" applyFont="1" applyAlignment="1">
      <alignment horizontal="right"/>
    </xf>
    <xf numFmtId="3" fontId="22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/>
    </xf>
    <xf numFmtId="171" fontId="24" fillId="2" borderId="0" xfId="0" applyNumberFormat="1" applyFont="1" applyFill="1"/>
    <xf numFmtId="0" fontId="57" fillId="0" borderId="0" xfId="0" applyFont="1"/>
    <xf numFmtId="165" fontId="22" fillId="0" borderId="0" xfId="0" applyNumberFormat="1" applyFont="1" applyAlignment="1">
      <alignment horizontal="right"/>
    </xf>
    <xf numFmtId="171" fontId="22" fillId="0" borderId="0" xfId="0" applyNumberFormat="1" applyFont="1" applyAlignment="1">
      <alignment horizontal="right"/>
    </xf>
    <xf numFmtId="171" fontId="12" fillId="2" borderId="0" xfId="0" applyNumberFormat="1" applyFont="1" applyFill="1"/>
    <xf numFmtId="171" fontId="1" fillId="9" borderId="0" xfId="0" applyNumberFormat="1" applyFont="1" applyFill="1"/>
  </cellXfs>
  <cellStyles count="3">
    <cellStyle name="Good" xfId="2" builtinId="26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EDB3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MCQ Estimated Accumulated Eden Project Cornwall GVA &amp;</a:t>
            </a:r>
            <a:r>
              <a:rPr lang="en-US" baseline="0"/>
              <a:t> MCQ </a:t>
            </a:r>
            <a:r>
              <a:rPr lang="en-US"/>
              <a:t>Rehab Debt</a:t>
            </a:r>
          </a:p>
        </c:rich>
      </c:tx>
      <c:layout>
        <c:manualLayout>
          <c:xMode val="edge"/>
          <c:yMode val="edge"/>
          <c:x val="0.14963747094103713"/>
          <c:y val="1.800748981071417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35229893164334"/>
          <c:y val="0.13774425989860659"/>
          <c:w val="0.79270683091456084"/>
          <c:h val="0.71318971126025499"/>
        </c:manualLayout>
      </c:layout>
      <c:barChart>
        <c:barDir val="col"/>
        <c:grouping val="clustered"/>
        <c:varyColors val="0"/>
        <c:ser>
          <c:idx val="5"/>
          <c:order val="5"/>
          <c:tx>
            <c:v>Total Mt Coot-tha Tourism Facility Loss AU$ MILLIONS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'Eden Cornwall'!$N$24:$N$58</c:f>
              <c:numCache>
                <c:formatCode>General</c:formatCode>
                <c:ptCount val="35"/>
                <c:pt idx="19" formatCode="&quot;$&quot;#,##0.00">
                  <c:v>2457.6236278012502</c:v>
                </c:pt>
                <c:pt idx="24" formatCode="&quot;$&quot;#,##0.00">
                  <c:v>3710.8673625241286</c:v>
                </c:pt>
                <c:pt idx="26" formatCode="&quot;$&quot;#,##0.00">
                  <c:v>4279.0751591449443</c:v>
                </c:pt>
                <c:pt idx="29" formatCode="&quot;$&quot;#,##0.00">
                  <c:v>5211.8853302374864</c:v>
                </c:pt>
                <c:pt idx="31" formatCode="&quot;$&quot;#,##0.00">
                  <c:v>5891.6617138710735</c:v>
                </c:pt>
                <c:pt idx="34" formatCode="&quot;$&quot;#,##0.00">
                  <c:v>7006.0618946084542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4-41EE-9A1C-1018B5EB7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312832"/>
        <c:axId val="662306272"/>
      </c:barChart>
      <c:lineChart>
        <c:grouping val="standard"/>
        <c:varyColors val="0"/>
        <c:ser>
          <c:idx val="0"/>
          <c:order val="0"/>
          <c:tx>
            <c:v>Accumulated Eden Cornwall GVA with compounding interest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Rehab!$B$25:$B$62</c:f>
              <c:numCache>
                <c:formatCode>General</c:formatCode>
                <c:ptCount val="3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</c:numCache>
            </c:numRef>
          </c:cat>
          <c:val>
            <c:numRef>
              <c:f>'Eden Cornwall'!$G$24:$G$58</c:f>
              <c:numCache>
                <c:formatCode>#,##0</c:formatCode>
                <c:ptCount val="35"/>
                <c:pt idx="0" formatCode="General">
                  <c:v>89</c:v>
                </c:pt>
                <c:pt idx="1">
                  <c:v>170.77206161428569</c:v>
                </c:pt>
                <c:pt idx="2">
                  <c:v>255.83671300585127</c:v>
                </c:pt>
                <c:pt idx="3">
                  <c:v>344.30297652592213</c:v>
                </c:pt>
                <c:pt idx="4">
                  <c:v>436.283484411519</c:v>
                </c:pt>
                <c:pt idx="5">
                  <c:v>531.89459831393356</c:v>
                </c:pt>
                <c:pt idx="6">
                  <c:v>631.25653278496259</c:v>
                </c:pt>
                <c:pt idx="7">
                  <c:v>734.4934828519481</c:v>
                </c:pt>
                <c:pt idx="8">
                  <c:v>841.73375581700873</c:v>
                </c:pt>
                <c:pt idx="9">
                  <c:v>953.10990742033255</c:v>
                </c:pt>
                <c:pt idx="10">
                  <c:v>1068.7588825120304</c:v>
                </c:pt>
                <c:pt idx="11">
                  <c:v>1188.8221603818358</c:v>
                </c:pt>
                <c:pt idx="12">
                  <c:v>1313.445904900879</c:v>
                </c:pt>
                <c:pt idx="13">
                  <c:v>1442.7811196348684</c:v>
                </c:pt>
                <c:pt idx="14">
                  <c:v>1576.9838080932927</c:v>
                </c:pt>
                <c:pt idx="15">
                  <c:v>1716.2151392847018</c:v>
                </c:pt>
                <c:pt idx="16">
                  <c:v>1860.6416187537602</c:v>
                </c:pt>
                <c:pt idx="17">
                  <c:v>2010.4352652815812</c:v>
                </c:pt>
                <c:pt idx="18">
                  <c:v>2225.9155827807899</c:v>
                </c:pt>
                <c:pt idx="19">
                  <c:v>2449.5678531371414</c:v>
                </c:pt>
                <c:pt idx="20">
                  <c:v>2681.6626613839539</c:v>
                </c:pt>
                <c:pt idx="21">
                  <c:v>2922.4795520115495</c:v>
                </c:pt>
                <c:pt idx="22">
                  <c:v>3172.307325627673</c:v>
                </c:pt>
                <c:pt idx="23">
                  <c:v>3431.4443454407651</c:v>
                </c:pt>
                <c:pt idx="24">
                  <c:v>3700.1988538913301</c:v>
                </c:pt>
                <c:pt idx="25">
                  <c:v>3978.8892997674247</c:v>
                </c:pt>
                <c:pt idx="26">
                  <c:v>4267.8446761514042</c:v>
                </c:pt>
                <c:pt idx="27">
                  <c:v>4567.4048695565707</c:v>
                </c:pt>
                <c:pt idx="28">
                  <c:v>4877.9210206242351</c:v>
                </c:pt>
                <c:pt idx="29">
                  <c:v>5199.7558967639707</c:v>
                </c:pt>
                <c:pt idx="30">
                  <c:v>5533.2842771325204</c:v>
                </c:pt>
                <c:pt idx="31">
                  <c:v>5878.8933503599064</c:v>
                </c:pt>
                <c:pt idx="32">
                  <c:v>6236.9831254448181</c:v>
                </c:pt>
                <c:pt idx="33">
                  <c:v>6607.9668562553315</c:v>
                </c:pt>
                <c:pt idx="34">
                  <c:v>6992.2714800854592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4-4442-A120-F69A5A19F3AA}"/>
            </c:ext>
          </c:extLst>
        </c:ser>
        <c:ser>
          <c:idx val="2"/>
          <c:order val="1"/>
          <c:tx>
            <c:v>Accumulated Eden Cornwall GVA (Gross Value Added)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Rehab!$B$25:$B$62</c:f>
              <c:numCache>
                <c:formatCode>General</c:formatCode>
                <c:ptCount val="3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</c:numCache>
            </c:numRef>
          </c:cat>
          <c:val>
            <c:numRef>
              <c:f>'Eden Cornwall'!$C$24:$C$58</c:f>
              <c:numCache>
                <c:formatCode>#,##0</c:formatCode>
                <c:ptCount val="35"/>
                <c:pt idx="0">
                  <c:v>78</c:v>
                </c:pt>
                <c:pt idx="1">
                  <c:v>158.58269142857142</c:v>
                </c:pt>
                <c:pt idx="2">
                  <c:v>241.83359088847345</c:v>
                </c:pt>
                <c:pt idx="3">
                  <c:v>327.84104655934919</c:v>
                </c:pt>
                <c:pt idx="4">
                  <c:v>416.69633195528149</c:v>
                </c:pt>
                <c:pt idx="5">
                  <c:v>508.49374278679511</c:v>
                </c:pt>
                <c:pt idx="6">
                  <c:v>603.33069703009846</c:v>
                </c:pt>
                <c:pt idx="7">
                  <c:v>701.30783830976077</c:v>
                </c:pt>
                <c:pt idx="8">
                  <c:v>802.52914270453743</c:v>
                </c:pt>
                <c:pt idx="9">
                  <c:v>907.10202908968859</c:v>
                </c:pt>
                <c:pt idx="10">
                  <c:v>1015.1374731328897</c:v>
                </c:pt>
                <c:pt idx="11">
                  <c:v>1126.7501250647099</c:v>
                </c:pt>
                <c:pt idx="12">
                  <c:v>1242.0584313486384</c:v>
                </c:pt>
                <c:pt idx="13">
                  <c:v>1361.1847603797794</c:v>
                </c:pt>
                <c:pt idx="14">
                  <c:v>1484.2555323456115</c:v>
                </c:pt>
                <c:pt idx="15">
                  <c:v>1611.4013533866209</c:v>
                </c:pt>
                <c:pt idx="16">
                  <c:v>1742.7571541991854</c:v>
                </c:pt>
                <c:pt idx="17">
                  <c:v>1878.4623332277979</c:v>
                </c:pt>
                <c:pt idx="18" formatCode="&quot;$&quot;#,##0">
                  <c:v>2064.0423332277978</c:v>
                </c:pt>
                <c:pt idx="19" formatCode="&quot;$&quot;#,##0">
                  <c:v>2270.6646189420835</c:v>
                </c:pt>
                <c:pt idx="20" formatCode="&quot;$&quot;#,##0">
                  <c:v>2484.128463711063</c:v>
                </c:pt>
                <c:pt idx="21" formatCode="&quot;$&quot;#,##0">
                  <c:v>2704.6604013286933</c:v>
                </c:pt>
                <c:pt idx="22" formatCode="&quot;$&quot;#,##0">
                  <c:v>2932.4944664464683</c:v>
                </c:pt>
                <c:pt idx="23" formatCode="&quot;$&quot;#,##0">
                  <c:v>3167.8724429375288</c:v>
                </c:pt>
                <c:pt idx="24" formatCode="&quot;$&quot;#,##0">
                  <c:v>3411.0441204844606</c:v>
                </c:pt>
                <c:pt idx="25" formatCode="&quot;$&quot;#,##0">
                  <c:v>3662.267559663082</c:v>
                </c:pt>
                <c:pt idx="26" formatCode="&quot;$&quot;#,##0">
                  <c:v>3921.809365803535</c:v>
                </c:pt>
                <c:pt idx="27" formatCode="&quot;$&quot;#,##0">
                  <c:v>4189.9449719193071</c:v>
                </c:pt>
                <c:pt idx="28" formatCode="&quot;$&quot;#,##0">
                  <c:v>4466.9589310044385</c:v>
                </c:pt>
                <c:pt idx="29" formatCode="&quot;$&quot;#,##0">
                  <c:v>4753.1452180091055</c:v>
                </c:pt>
                <c:pt idx="30" formatCode="&quot;$&quot;#,##0">
                  <c:v>5048.8075418140497</c:v>
                </c:pt>
                <c:pt idx="31" formatCode="&quot;$&quot;#,##0">
                  <c:v>5354.2596675349241</c:v>
                </c:pt>
                <c:pt idx="32" formatCode="&quot;$&quot;#,##0">
                  <c:v>5669.8257494985965</c:v>
                </c:pt>
                <c:pt idx="33" formatCode="&quot;$&quot;#,##0">
                  <c:v>5995.8406752447745</c:v>
                </c:pt>
                <c:pt idx="34" formatCode="&quot;$&quot;#,##0">
                  <c:v>6332.6504209180166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0D-41C6-BE4B-3F298B1AC526}"/>
            </c:ext>
          </c:extLst>
        </c:ser>
        <c:ser>
          <c:idx val="4"/>
          <c:order val="2"/>
          <c:tx>
            <c:v>Annual Eden Cornwall GVA (Recurring)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Rehab!$B$25:$B$62</c:f>
              <c:numCache>
                <c:formatCode>General</c:formatCode>
                <c:ptCount val="3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</c:numCache>
            </c:numRef>
          </c:cat>
          <c:val>
            <c:numRef>
              <c:f>'Eden Cornwall'!$B$24:$B$58</c:f>
              <c:numCache>
                <c:formatCode>#,##0</c:formatCode>
                <c:ptCount val="35"/>
                <c:pt idx="0">
                  <c:v>78</c:v>
                </c:pt>
                <c:pt idx="1">
                  <c:v>80.582691428571422</c:v>
                </c:pt>
                <c:pt idx="2">
                  <c:v>83.25089945990203</c:v>
                </c:pt>
                <c:pt idx="3">
                  <c:v>86.007455670875757</c:v>
                </c:pt>
                <c:pt idx="4">
                  <c:v>88.85528539593227</c:v>
                </c:pt>
                <c:pt idx="5">
                  <c:v>91.797410831513588</c:v>
                </c:pt>
                <c:pt idx="6">
                  <c:v>94.836954243303339</c:v>
                </c:pt>
                <c:pt idx="7">
                  <c:v>97.97714127966232</c:v>
                </c:pt>
                <c:pt idx="8">
                  <c:v>101.22130439477662</c:v>
                </c:pt>
                <c:pt idx="9">
                  <c:v>104.57288638515109</c:v>
                </c:pt>
                <c:pt idx="10">
                  <c:v>108.03544404320114</c:v>
                </c:pt>
                <c:pt idx="11">
                  <c:v>111.61265193182017</c:v>
                </c:pt>
                <c:pt idx="12">
                  <c:v>115.30830628392835</c:v>
                </c:pt>
                <c:pt idx="13">
                  <c:v>119.12632903114105</c:v>
                </c:pt>
                <c:pt idx="14">
                  <c:v>123.07077196583218</c:v>
                </c:pt>
                <c:pt idx="15">
                  <c:v>127.14582104100941</c:v>
                </c:pt>
                <c:pt idx="16">
                  <c:v>131.35580081256444</c:v>
                </c:pt>
                <c:pt idx="17">
                  <c:v>135.70517902861246</c:v>
                </c:pt>
                <c:pt idx="18" formatCode="General">
                  <c:v>200</c:v>
                </c:pt>
                <c:pt idx="19">
                  <c:v>206.62228571428571</c:v>
                </c:pt>
                <c:pt idx="20">
                  <c:v>213.46384476897958</c:v>
                </c:pt>
                <c:pt idx="21">
                  <c:v>220.53193761763018</c:v>
                </c:pt>
                <c:pt idx="22">
                  <c:v>227.83406511777508</c:v>
                </c:pt>
                <c:pt idx="23">
                  <c:v>235.37797649106051</c:v>
                </c:pt>
                <c:pt idx="24">
                  <c:v>243.17167754693165</c:v>
                </c:pt>
                <c:pt idx="25">
                  <c:v>251.22343917862133</c:v>
                </c:pt>
                <c:pt idx="26">
                  <c:v>259.54180614045288</c:v>
                </c:pt>
                <c:pt idx="27">
                  <c:v>268.13560611577202</c:v>
                </c:pt>
                <c:pt idx="28">
                  <c:v>277.01395908513109</c:v>
                </c:pt>
                <c:pt idx="29">
                  <c:v>286.18628700466707</c:v>
                </c:pt>
                <c:pt idx="30">
                  <c:v>295.66232380494444</c:v>
                </c:pt>
                <c:pt idx="31">
                  <c:v>305.45212572087445</c:v>
                </c:pt>
                <c:pt idx="32">
                  <c:v>315.56608196367222</c:v>
                </c:pt>
                <c:pt idx="33">
                  <c:v>326.01492574617794</c:v>
                </c:pt>
                <c:pt idx="34">
                  <c:v>336.80974567324211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0D-41C6-BE4B-3F298B1AC526}"/>
            </c:ext>
          </c:extLst>
        </c:ser>
        <c:ser>
          <c:idx val="3"/>
          <c:order val="3"/>
          <c:tx>
            <c:v>MCQ Estimated Gravel Sales/Usage Profit</c:v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Rehab!$B$25:$B$62</c:f>
              <c:numCache>
                <c:formatCode>General</c:formatCode>
                <c:ptCount val="3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</c:numCache>
            </c:numRef>
          </c:cat>
          <c:val>
            <c:numRef>
              <c:f>Estimates!$O$52:$O$71</c:f>
              <c:numCache>
                <c:formatCode>0.00</c:formatCode>
                <c:ptCount val="20"/>
                <c:pt idx="0">
                  <c:v>1.0306082752182817</c:v>
                </c:pt>
                <c:pt idx="1">
                  <c:v>1.4611443847826073</c:v>
                </c:pt>
                <c:pt idx="2">
                  <c:v>1.8608597452173898</c:v>
                </c:pt>
                <c:pt idx="3">
                  <c:v>1.0897935130434775</c:v>
                </c:pt>
                <c:pt idx="4">
                  <c:v>1.4895088734782598</c:v>
                </c:pt>
                <c:pt idx="5">
                  <c:v>1.6720119652173904</c:v>
                </c:pt>
                <c:pt idx="6">
                  <c:v>1.3732517915217386</c:v>
                </c:pt>
                <c:pt idx="7">
                  <c:v>2.2301579236956517</c:v>
                </c:pt>
                <c:pt idx="8">
                  <c:v>1.800025381304347</c:v>
                </c:pt>
                <c:pt idx="9">
                  <c:v>2.0508271760869561</c:v>
                </c:pt>
                <c:pt idx="10">
                  <c:v>1.964987276086956</c:v>
                </c:pt>
                <c:pt idx="11">
                  <c:v>2.1971282230434777</c:v>
                </c:pt>
                <c:pt idx="12">
                  <c:v>4.0354083423913041</c:v>
                </c:pt>
                <c:pt idx="13">
                  <c:v>3.4759561245652169</c:v>
                </c:pt>
                <c:pt idx="14">
                  <c:v>4.0889649756521731</c:v>
                </c:pt>
                <c:pt idx="15">
                  <c:v>3.1339027839130433</c:v>
                </c:pt>
                <c:pt idx="16">
                  <c:v>5.1410635760869559</c:v>
                </c:pt>
                <c:pt idx="17">
                  <c:v>4.6868585399999994</c:v>
                </c:pt>
                <c:pt idx="18">
                  <c:v>4.0438057239130432</c:v>
                </c:pt>
                <c:pt idx="19">
                  <c:v>1.8660847826086957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0D-41C6-BE4B-3F298B1AC526}"/>
            </c:ext>
          </c:extLst>
        </c:ser>
        <c:ser>
          <c:idx val="1"/>
          <c:order val="4"/>
          <c:tx>
            <c:v>Net MCQ Final Rehab Debt (once only increasing cost)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Rehab!$B$25:$B$62</c:f>
              <c:numCache>
                <c:formatCode>General</c:formatCode>
                <c:ptCount val="3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  <c:pt idx="36">
                  <c:v>2037</c:v>
                </c:pt>
                <c:pt idx="37">
                  <c:v>2038</c:v>
                </c:pt>
              </c:numCache>
            </c:numRef>
          </c:cat>
          <c:val>
            <c:numRef>
              <c:f>Rehab!$J$25:$J$59</c:f>
              <c:numCache>
                <c:formatCode>#,##0.00</c:formatCode>
                <c:ptCount val="35"/>
                <c:pt idx="1">
                  <c:v>-6.873004639565238</c:v>
                </c:pt>
                <c:pt idx="2">
                  <c:v>-7.8074228321738985</c:v>
                </c:pt>
                <c:pt idx="3">
                  <c:v>-6.8477319375652144</c:v>
                </c:pt>
                <c:pt idx="4">
                  <c:v>-6.287051529608874</c:v>
                </c:pt>
                <c:pt idx="5">
                  <c:v>-7.7024189507567087</c:v>
                </c:pt>
                <c:pt idx="6">
                  <c:v>-8.0749699359040505</c:v>
                </c:pt>
                <c:pt idx="7">
                  <c:v>-11.023862963606234</c:v>
                </c:pt>
                <c:pt idx="8">
                  <c:v>-11.88499548800263</c:v>
                </c:pt>
                <c:pt idx="9">
                  <c:v>-7.444930926712118</c:v>
                </c:pt>
                <c:pt idx="10">
                  <c:v>-9.1212637479946466</c:v>
                </c:pt>
                <c:pt idx="11">
                  <c:v>-5.6275471636158159</c:v>
                </c:pt>
                <c:pt idx="12">
                  <c:v>-7.5673754274345697</c:v>
                </c:pt>
                <c:pt idx="13">
                  <c:v>-7.8512882182638464</c:v>
                </c:pt>
                <c:pt idx="14">
                  <c:v>-7.6353458787806403</c:v>
                </c:pt>
                <c:pt idx="15">
                  <c:v>-3.784645164491053</c:v>
                </c:pt>
                <c:pt idx="16">
                  <c:v>-5.997985420019404</c:v>
                </c:pt>
                <c:pt idx="17">
                  <c:v>-7.3316238493014794</c:v>
                </c:pt>
                <c:pt idx="18">
                  <c:v>-7.5585003224982188</c:v>
                </c:pt>
                <c:pt idx="19">
                  <c:v>-8.0557746641088102</c:v>
                </c:pt>
                <c:pt idx="20">
                  <c:v>-9.6275164615661311</c:v>
                </c:pt>
                <c:pt idx="21">
                  <c:v>-9.8778318895668917</c:v>
                </c:pt>
                <c:pt idx="22">
                  <c:v>-10.134655518695581</c:v>
                </c:pt>
                <c:pt idx="23">
                  <c:v>-10.398156562181612</c:v>
                </c:pt>
                <c:pt idx="24">
                  <c:v>-10.668508632798421</c:v>
                </c:pt>
                <c:pt idx="25">
                  <c:v>-10.945889857251132</c:v>
                </c:pt>
                <c:pt idx="26">
                  <c:v>-11.230482993539738</c:v>
                </c:pt>
                <c:pt idx="27">
                  <c:v>-11.522475551371713</c:v>
                </c:pt>
                <c:pt idx="28">
                  <c:v>-11.822059915707371</c:v>
                </c:pt>
                <c:pt idx="29">
                  <c:v>-12.129433473515746</c:v>
                </c:pt>
                <c:pt idx="30">
                  <c:v>-12.444798743827221</c:v>
                </c:pt>
                <c:pt idx="31">
                  <c:v>-12.768363511166683</c:v>
                </c:pt>
                <c:pt idx="32">
                  <c:v>-13.100340962457096</c:v>
                </c:pt>
                <c:pt idx="33">
                  <c:v>-13.440949827480949</c:v>
                </c:pt>
                <c:pt idx="34">
                  <c:v>-13.79041452299532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D-41C6-BE4B-3F298B1AC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312832"/>
        <c:axId val="662306272"/>
      </c:lineChart>
      <c:catAx>
        <c:axId val="66231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4006099379623009"/>
              <c:y val="0.92978892170769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306272"/>
        <c:crosses val="autoZero"/>
        <c:auto val="1"/>
        <c:lblAlgn val="ctr"/>
        <c:lblOffset val="100"/>
        <c:noMultiLvlLbl val="0"/>
      </c:catAx>
      <c:valAx>
        <c:axId val="662306272"/>
        <c:scaling>
          <c:orientation val="minMax"/>
          <c:min val="-1000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2941"/>
                </a:srgb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Income $Millions</a:t>
                </a:r>
              </a:p>
            </c:rich>
          </c:tx>
          <c:layout>
            <c:manualLayout>
              <c:xMode val="edge"/>
              <c:yMode val="edge"/>
              <c:x val="3.8158146125172564E-2"/>
              <c:y val="0.4201421739663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312832"/>
        <c:crosses val="autoZero"/>
        <c:crossBetween val="between"/>
      </c:valAx>
      <c:spPr>
        <a:solidFill>
          <a:srgbClr val="FFEDB3">
            <a:alpha val="53000"/>
          </a:srgb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311784977181544"/>
          <c:y val="0.14357649403307579"/>
          <c:w val="0.53111600272220194"/>
          <c:h val="0.333566851122036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rgbClr val="7030A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aseline="0"/>
              <a:t>MCQ Estimated Accumulated Eden Project Cornwall GVA &amp; MCQ Rehab Debt</a:t>
            </a:r>
          </a:p>
        </c:rich>
      </c:tx>
      <c:layout>
        <c:manualLayout>
          <c:xMode val="edge"/>
          <c:yMode val="edge"/>
          <c:x val="0.14963747094103713"/>
          <c:y val="1.800748981071417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14072563113335"/>
          <c:y val="0.13774425989860659"/>
          <c:w val="0.83834171570523919"/>
          <c:h val="0.71318971126025499"/>
        </c:manualLayout>
      </c:layout>
      <c:barChart>
        <c:barDir val="col"/>
        <c:grouping val="clustered"/>
        <c:varyColors val="0"/>
        <c:ser>
          <c:idx val="5"/>
          <c:order val="5"/>
          <c:tx>
            <c:v>Total Mt Coot-tha Tourism Facility Loss AU$ MILLIONS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'Eden Cornwall'!$N$24:$N$58</c:f>
              <c:numCache>
                <c:formatCode>General</c:formatCode>
                <c:ptCount val="35"/>
                <c:pt idx="19" formatCode="&quot;$&quot;#,##0.00">
                  <c:v>2457.6236278012502</c:v>
                </c:pt>
                <c:pt idx="24" formatCode="&quot;$&quot;#,##0.00">
                  <c:v>3710.8673625241286</c:v>
                </c:pt>
                <c:pt idx="26" formatCode="&quot;$&quot;#,##0.00">
                  <c:v>4279.0751591449443</c:v>
                </c:pt>
                <c:pt idx="29" formatCode="&quot;$&quot;#,##0.00">
                  <c:v>5211.8853302374864</c:v>
                </c:pt>
                <c:pt idx="31" formatCode="&quot;$&quot;#,##0.00">
                  <c:v>5891.6617138710735</c:v>
                </c:pt>
                <c:pt idx="34" formatCode="&quot;$&quot;#,##0.00">
                  <c:v>7006.0618946084542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B-4C43-81CF-2CF0FA830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312832"/>
        <c:axId val="662306272"/>
      </c:barChart>
      <c:lineChart>
        <c:grouping val="standard"/>
        <c:varyColors val="0"/>
        <c:ser>
          <c:idx val="0"/>
          <c:order val="0"/>
          <c:tx>
            <c:v>Accumulated Eden Cornwall GVA with compounding interest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Rehab!$B$25:$B$60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'Eden Cornwall'!$G$24:$G$58</c:f>
              <c:numCache>
                <c:formatCode>#,##0</c:formatCode>
                <c:ptCount val="35"/>
                <c:pt idx="0" formatCode="General">
                  <c:v>89</c:v>
                </c:pt>
                <c:pt idx="1">
                  <c:v>170.77206161428569</c:v>
                </c:pt>
                <c:pt idx="2">
                  <c:v>255.83671300585127</c:v>
                </c:pt>
                <c:pt idx="3">
                  <c:v>344.30297652592213</c:v>
                </c:pt>
                <c:pt idx="4">
                  <c:v>436.283484411519</c:v>
                </c:pt>
                <c:pt idx="5">
                  <c:v>531.89459831393356</c:v>
                </c:pt>
                <c:pt idx="6">
                  <c:v>631.25653278496259</c:v>
                </c:pt>
                <c:pt idx="7">
                  <c:v>734.4934828519481</c:v>
                </c:pt>
                <c:pt idx="8">
                  <c:v>841.73375581700873</c:v>
                </c:pt>
                <c:pt idx="9">
                  <c:v>953.10990742033255</c:v>
                </c:pt>
                <c:pt idx="10">
                  <c:v>1068.7588825120304</c:v>
                </c:pt>
                <c:pt idx="11">
                  <c:v>1188.8221603818358</c:v>
                </c:pt>
                <c:pt idx="12">
                  <c:v>1313.445904900879</c:v>
                </c:pt>
                <c:pt idx="13">
                  <c:v>1442.7811196348684</c:v>
                </c:pt>
                <c:pt idx="14">
                  <c:v>1576.9838080932927</c:v>
                </c:pt>
                <c:pt idx="15">
                  <c:v>1716.2151392847018</c:v>
                </c:pt>
                <c:pt idx="16">
                  <c:v>1860.6416187537602</c:v>
                </c:pt>
                <c:pt idx="17">
                  <c:v>2010.4352652815812</c:v>
                </c:pt>
                <c:pt idx="18">
                  <c:v>2225.9155827807899</c:v>
                </c:pt>
                <c:pt idx="19">
                  <c:v>2449.5678531371414</c:v>
                </c:pt>
                <c:pt idx="20">
                  <c:v>2681.6626613839539</c:v>
                </c:pt>
                <c:pt idx="21">
                  <c:v>2922.4795520115495</c:v>
                </c:pt>
                <c:pt idx="22">
                  <c:v>3172.307325627673</c:v>
                </c:pt>
                <c:pt idx="23">
                  <c:v>3431.4443454407651</c:v>
                </c:pt>
                <c:pt idx="24">
                  <c:v>3700.1988538913301</c:v>
                </c:pt>
                <c:pt idx="25">
                  <c:v>3978.8892997674247</c:v>
                </c:pt>
                <c:pt idx="26">
                  <c:v>4267.8446761514042</c:v>
                </c:pt>
                <c:pt idx="27">
                  <c:v>4567.4048695565707</c:v>
                </c:pt>
                <c:pt idx="28">
                  <c:v>4877.9210206242351</c:v>
                </c:pt>
                <c:pt idx="29">
                  <c:v>5199.7558967639707</c:v>
                </c:pt>
                <c:pt idx="30">
                  <c:v>5533.2842771325204</c:v>
                </c:pt>
                <c:pt idx="31">
                  <c:v>5878.8933503599064</c:v>
                </c:pt>
                <c:pt idx="32">
                  <c:v>6236.9831254448181</c:v>
                </c:pt>
                <c:pt idx="33">
                  <c:v>6607.9668562553315</c:v>
                </c:pt>
                <c:pt idx="34">
                  <c:v>6992.2714800854592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B-4C43-81CF-2CF0FA8305A1}"/>
            </c:ext>
          </c:extLst>
        </c:ser>
        <c:ser>
          <c:idx val="2"/>
          <c:order val="1"/>
          <c:tx>
            <c:v>Accumulated Eden Cornwall GVA (Gross Value Added)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Rehab!$B$25:$B$60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'Eden Cornwall'!$C$24:$C$58</c:f>
              <c:numCache>
                <c:formatCode>#,##0</c:formatCode>
                <c:ptCount val="35"/>
                <c:pt idx="0">
                  <c:v>78</c:v>
                </c:pt>
                <c:pt idx="1">
                  <c:v>158.58269142857142</c:v>
                </c:pt>
                <c:pt idx="2">
                  <c:v>241.83359088847345</c:v>
                </c:pt>
                <c:pt idx="3">
                  <c:v>327.84104655934919</c:v>
                </c:pt>
                <c:pt idx="4">
                  <c:v>416.69633195528149</c:v>
                </c:pt>
                <c:pt idx="5">
                  <c:v>508.49374278679511</c:v>
                </c:pt>
                <c:pt idx="6">
                  <c:v>603.33069703009846</c:v>
                </c:pt>
                <c:pt idx="7">
                  <c:v>701.30783830976077</c:v>
                </c:pt>
                <c:pt idx="8">
                  <c:v>802.52914270453743</c:v>
                </c:pt>
                <c:pt idx="9">
                  <c:v>907.10202908968859</c:v>
                </c:pt>
                <c:pt idx="10">
                  <c:v>1015.1374731328897</c:v>
                </c:pt>
                <c:pt idx="11">
                  <c:v>1126.7501250647099</c:v>
                </c:pt>
                <c:pt idx="12">
                  <c:v>1242.0584313486384</c:v>
                </c:pt>
                <c:pt idx="13">
                  <c:v>1361.1847603797794</c:v>
                </c:pt>
                <c:pt idx="14">
                  <c:v>1484.2555323456115</c:v>
                </c:pt>
                <c:pt idx="15">
                  <c:v>1611.4013533866209</c:v>
                </c:pt>
                <c:pt idx="16">
                  <c:v>1742.7571541991854</c:v>
                </c:pt>
                <c:pt idx="17">
                  <c:v>1878.4623332277979</c:v>
                </c:pt>
                <c:pt idx="18" formatCode="&quot;$&quot;#,##0">
                  <c:v>2064.0423332277978</c:v>
                </c:pt>
                <c:pt idx="19" formatCode="&quot;$&quot;#,##0">
                  <c:v>2270.6646189420835</c:v>
                </c:pt>
                <c:pt idx="20" formatCode="&quot;$&quot;#,##0">
                  <c:v>2484.128463711063</c:v>
                </c:pt>
                <c:pt idx="21" formatCode="&quot;$&quot;#,##0">
                  <c:v>2704.6604013286933</c:v>
                </c:pt>
                <c:pt idx="22" formatCode="&quot;$&quot;#,##0">
                  <c:v>2932.4944664464683</c:v>
                </c:pt>
                <c:pt idx="23" formatCode="&quot;$&quot;#,##0">
                  <c:v>3167.8724429375288</c:v>
                </c:pt>
                <c:pt idx="24" formatCode="&quot;$&quot;#,##0">
                  <c:v>3411.0441204844606</c:v>
                </c:pt>
                <c:pt idx="25" formatCode="&quot;$&quot;#,##0">
                  <c:v>3662.267559663082</c:v>
                </c:pt>
                <c:pt idx="26" formatCode="&quot;$&quot;#,##0">
                  <c:v>3921.809365803535</c:v>
                </c:pt>
                <c:pt idx="27" formatCode="&quot;$&quot;#,##0">
                  <c:v>4189.9449719193071</c:v>
                </c:pt>
                <c:pt idx="28" formatCode="&quot;$&quot;#,##0">
                  <c:v>4466.9589310044385</c:v>
                </c:pt>
                <c:pt idx="29" formatCode="&quot;$&quot;#,##0">
                  <c:v>4753.1452180091055</c:v>
                </c:pt>
                <c:pt idx="30" formatCode="&quot;$&quot;#,##0">
                  <c:v>5048.8075418140497</c:v>
                </c:pt>
                <c:pt idx="31" formatCode="&quot;$&quot;#,##0">
                  <c:v>5354.2596675349241</c:v>
                </c:pt>
                <c:pt idx="32" formatCode="&quot;$&quot;#,##0">
                  <c:v>5669.8257494985965</c:v>
                </c:pt>
                <c:pt idx="33" formatCode="&quot;$&quot;#,##0">
                  <c:v>5995.8406752447745</c:v>
                </c:pt>
                <c:pt idx="34" formatCode="&quot;$&quot;#,##0">
                  <c:v>6332.6504209180166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AB-4C43-81CF-2CF0FA8305A1}"/>
            </c:ext>
          </c:extLst>
        </c:ser>
        <c:ser>
          <c:idx val="4"/>
          <c:order val="2"/>
          <c:tx>
            <c:v>Annual Eden Cornwall GVA (Recurring)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Rehab!$B$25:$B$60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'Eden Cornwall'!$B$24:$B$58</c:f>
              <c:numCache>
                <c:formatCode>#,##0</c:formatCode>
                <c:ptCount val="35"/>
                <c:pt idx="0">
                  <c:v>78</c:v>
                </c:pt>
                <c:pt idx="1">
                  <c:v>80.582691428571422</c:v>
                </c:pt>
                <c:pt idx="2">
                  <c:v>83.25089945990203</c:v>
                </c:pt>
                <c:pt idx="3">
                  <c:v>86.007455670875757</c:v>
                </c:pt>
                <c:pt idx="4">
                  <c:v>88.85528539593227</c:v>
                </c:pt>
                <c:pt idx="5">
                  <c:v>91.797410831513588</c:v>
                </c:pt>
                <c:pt idx="6">
                  <c:v>94.836954243303339</c:v>
                </c:pt>
                <c:pt idx="7">
                  <c:v>97.97714127966232</c:v>
                </c:pt>
                <c:pt idx="8">
                  <c:v>101.22130439477662</c:v>
                </c:pt>
                <c:pt idx="9">
                  <c:v>104.57288638515109</c:v>
                </c:pt>
                <c:pt idx="10">
                  <c:v>108.03544404320114</c:v>
                </c:pt>
                <c:pt idx="11">
                  <c:v>111.61265193182017</c:v>
                </c:pt>
                <c:pt idx="12">
                  <c:v>115.30830628392835</c:v>
                </c:pt>
                <c:pt idx="13">
                  <c:v>119.12632903114105</c:v>
                </c:pt>
                <c:pt idx="14">
                  <c:v>123.07077196583218</c:v>
                </c:pt>
                <c:pt idx="15">
                  <c:v>127.14582104100941</c:v>
                </c:pt>
                <c:pt idx="16">
                  <c:v>131.35580081256444</c:v>
                </c:pt>
                <c:pt idx="17">
                  <c:v>135.70517902861246</c:v>
                </c:pt>
                <c:pt idx="18" formatCode="General">
                  <c:v>200</c:v>
                </c:pt>
                <c:pt idx="19">
                  <c:v>206.62228571428571</c:v>
                </c:pt>
                <c:pt idx="20">
                  <c:v>213.46384476897958</c:v>
                </c:pt>
                <c:pt idx="21">
                  <c:v>220.53193761763018</c:v>
                </c:pt>
                <c:pt idx="22">
                  <c:v>227.83406511777508</c:v>
                </c:pt>
                <c:pt idx="23">
                  <c:v>235.37797649106051</c:v>
                </c:pt>
                <c:pt idx="24">
                  <c:v>243.17167754693165</c:v>
                </c:pt>
                <c:pt idx="25">
                  <c:v>251.22343917862133</c:v>
                </c:pt>
                <c:pt idx="26">
                  <c:v>259.54180614045288</c:v>
                </c:pt>
                <c:pt idx="27">
                  <c:v>268.13560611577202</c:v>
                </c:pt>
                <c:pt idx="28">
                  <c:v>277.01395908513109</c:v>
                </c:pt>
                <c:pt idx="29">
                  <c:v>286.18628700466707</c:v>
                </c:pt>
                <c:pt idx="30">
                  <c:v>295.66232380494444</c:v>
                </c:pt>
                <c:pt idx="31">
                  <c:v>305.45212572087445</c:v>
                </c:pt>
                <c:pt idx="32">
                  <c:v>315.56608196367222</c:v>
                </c:pt>
                <c:pt idx="33">
                  <c:v>326.01492574617794</c:v>
                </c:pt>
                <c:pt idx="34">
                  <c:v>336.80974567324211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AB-4C43-81CF-2CF0FA8305A1}"/>
            </c:ext>
          </c:extLst>
        </c:ser>
        <c:ser>
          <c:idx val="3"/>
          <c:order val="3"/>
          <c:tx>
            <c:v>MCQ Estimated Gravel Sales/Usage Profit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Rehab!$B$25:$B$60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Estimates!$O$52:$O$71</c:f>
              <c:numCache>
                <c:formatCode>0.00</c:formatCode>
                <c:ptCount val="20"/>
                <c:pt idx="0">
                  <c:v>1.0306082752182817</c:v>
                </c:pt>
                <c:pt idx="1">
                  <c:v>1.4611443847826073</c:v>
                </c:pt>
                <c:pt idx="2">
                  <c:v>1.8608597452173898</c:v>
                </c:pt>
                <c:pt idx="3">
                  <c:v>1.0897935130434775</c:v>
                </c:pt>
                <c:pt idx="4">
                  <c:v>1.4895088734782598</c:v>
                </c:pt>
                <c:pt idx="5">
                  <c:v>1.6720119652173904</c:v>
                </c:pt>
                <c:pt idx="6">
                  <c:v>1.3732517915217386</c:v>
                </c:pt>
                <c:pt idx="7">
                  <c:v>2.2301579236956517</c:v>
                </c:pt>
                <c:pt idx="8">
                  <c:v>1.800025381304347</c:v>
                </c:pt>
                <c:pt idx="9">
                  <c:v>2.0508271760869561</c:v>
                </c:pt>
                <c:pt idx="10">
                  <c:v>1.964987276086956</c:v>
                </c:pt>
                <c:pt idx="11">
                  <c:v>2.1971282230434777</c:v>
                </c:pt>
                <c:pt idx="12">
                  <c:v>4.0354083423913041</c:v>
                </c:pt>
                <c:pt idx="13">
                  <c:v>3.4759561245652169</c:v>
                </c:pt>
                <c:pt idx="14">
                  <c:v>4.0889649756521731</c:v>
                </c:pt>
                <c:pt idx="15">
                  <c:v>3.1339027839130433</c:v>
                </c:pt>
                <c:pt idx="16">
                  <c:v>5.1410635760869559</c:v>
                </c:pt>
                <c:pt idx="17">
                  <c:v>4.6868585399999994</c:v>
                </c:pt>
                <c:pt idx="18">
                  <c:v>4.0438057239130432</c:v>
                </c:pt>
                <c:pt idx="19">
                  <c:v>1.8660847826086957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AB-4C43-81CF-2CF0FA8305A1}"/>
            </c:ext>
          </c:extLst>
        </c:ser>
        <c:ser>
          <c:idx val="1"/>
          <c:order val="4"/>
          <c:tx>
            <c:v>Net MCQ Final Rehab Debt (once only cost)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Rehab!$B$25:$B$60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Rehab!$J$25:$J$59</c:f>
              <c:numCache>
                <c:formatCode>#,##0.00</c:formatCode>
                <c:ptCount val="35"/>
                <c:pt idx="1">
                  <c:v>-6.873004639565238</c:v>
                </c:pt>
                <c:pt idx="2">
                  <c:v>-7.8074228321738985</c:v>
                </c:pt>
                <c:pt idx="3">
                  <c:v>-6.8477319375652144</c:v>
                </c:pt>
                <c:pt idx="4">
                  <c:v>-6.287051529608874</c:v>
                </c:pt>
                <c:pt idx="5">
                  <c:v>-7.7024189507567087</c:v>
                </c:pt>
                <c:pt idx="6">
                  <c:v>-8.0749699359040505</c:v>
                </c:pt>
                <c:pt idx="7">
                  <c:v>-11.023862963606234</c:v>
                </c:pt>
                <c:pt idx="8">
                  <c:v>-11.88499548800263</c:v>
                </c:pt>
                <c:pt idx="9">
                  <c:v>-7.444930926712118</c:v>
                </c:pt>
                <c:pt idx="10">
                  <c:v>-9.1212637479946466</c:v>
                </c:pt>
                <c:pt idx="11">
                  <c:v>-5.6275471636158159</c:v>
                </c:pt>
                <c:pt idx="12">
                  <c:v>-7.5673754274345697</c:v>
                </c:pt>
                <c:pt idx="13">
                  <c:v>-7.8512882182638464</c:v>
                </c:pt>
                <c:pt idx="14">
                  <c:v>-7.6353458787806403</c:v>
                </c:pt>
                <c:pt idx="15">
                  <c:v>-3.784645164491053</c:v>
                </c:pt>
                <c:pt idx="16">
                  <c:v>-5.997985420019404</c:v>
                </c:pt>
                <c:pt idx="17">
                  <c:v>-7.3316238493014794</c:v>
                </c:pt>
                <c:pt idx="18">
                  <c:v>-7.5585003224982188</c:v>
                </c:pt>
                <c:pt idx="19">
                  <c:v>-8.0557746641088102</c:v>
                </c:pt>
                <c:pt idx="20">
                  <c:v>-9.6275164615661311</c:v>
                </c:pt>
                <c:pt idx="21">
                  <c:v>-9.8778318895668917</c:v>
                </c:pt>
                <c:pt idx="22">
                  <c:v>-10.134655518695581</c:v>
                </c:pt>
                <c:pt idx="23">
                  <c:v>-10.398156562181612</c:v>
                </c:pt>
                <c:pt idx="24">
                  <c:v>-10.668508632798421</c:v>
                </c:pt>
                <c:pt idx="25">
                  <c:v>-10.945889857251132</c:v>
                </c:pt>
                <c:pt idx="26">
                  <c:v>-11.230482993539738</c:v>
                </c:pt>
                <c:pt idx="27">
                  <c:v>-11.522475551371713</c:v>
                </c:pt>
                <c:pt idx="28">
                  <c:v>-11.822059915707371</c:v>
                </c:pt>
                <c:pt idx="29">
                  <c:v>-12.129433473515746</c:v>
                </c:pt>
                <c:pt idx="30">
                  <c:v>-12.444798743827221</c:v>
                </c:pt>
                <c:pt idx="31">
                  <c:v>-12.768363511166683</c:v>
                </c:pt>
                <c:pt idx="32">
                  <c:v>-13.100340962457096</c:v>
                </c:pt>
                <c:pt idx="33">
                  <c:v>-13.440949827480949</c:v>
                </c:pt>
                <c:pt idx="34">
                  <c:v>-13.79041452299532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AB-4C43-81CF-2CF0FA830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312832"/>
        <c:axId val="662306272"/>
      </c:lineChart>
      <c:catAx>
        <c:axId val="66231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800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3809529362150357"/>
              <c:y val="0.821844725379946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306272"/>
        <c:crosses val="autoZero"/>
        <c:auto val="1"/>
        <c:lblAlgn val="ctr"/>
        <c:lblOffset val="100"/>
        <c:noMultiLvlLbl val="0"/>
      </c:catAx>
      <c:valAx>
        <c:axId val="662306272"/>
        <c:scaling>
          <c:orientation val="minMax"/>
          <c:min val="-1000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2941"/>
                </a:srgb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Income $Millions</a:t>
                </a:r>
              </a:p>
            </c:rich>
          </c:tx>
          <c:layout>
            <c:manualLayout>
              <c:xMode val="edge"/>
              <c:yMode val="edge"/>
              <c:x val="4.3495706604606372E-3"/>
              <c:y val="0.420142244019140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312832"/>
        <c:crosses val="autoZero"/>
        <c:crossBetween val="between"/>
      </c:valAx>
      <c:spPr>
        <a:solidFill>
          <a:srgbClr val="FFEDB3">
            <a:alpha val="53000"/>
          </a:srgbClr>
        </a:solidFill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1690347230724682"/>
          <c:y val="0.1435764859455434"/>
          <c:w val="0.69387040697143365"/>
          <c:h val="0.37405100590485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rgbClr val="7030A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MCQ Projected Annual Eden Cornwall GVA &amp; MCQ Estimated Rehab Debt</a:t>
            </a:r>
          </a:p>
        </c:rich>
      </c:tx>
      <c:layout>
        <c:manualLayout>
          <c:xMode val="edge"/>
          <c:yMode val="edge"/>
          <c:x val="0.14963747094103713"/>
          <c:y val="1.800748981071417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44257779649903"/>
          <c:y val="0.13774425989860659"/>
          <c:w val="0.82061657637149332"/>
          <c:h val="0.71318971126025499"/>
        </c:manualLayout>
      </c:layout>
      <c:lineChart>
        <c:grouping val="standard"/>
        <c:varyColors val="0"/>
        <c:ser>
          <c:idx val="4"/>
          <c:order val="0"/>
          <c:tx>
            <c:v>Annual Eden Cornwall GVA (Recurring Every Year forever)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Rehab!$B$25:$B$56</c:f>
              <c:numCache>
                <c:formatCode>General</c:formatCode>
                <c:ptCount val="3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</c:numCache>
            </c:numRef>
          </c:cat>
          <c:val>
            <c:numRef>
              <c:f>'Eden Cornwall'!$B$24:$B$55</c:f>
              <c:numCache>
                <c:formatCode>#,##0</c:formatCode>
                <c:ptCount val="32"/>
                <c:pt idx="0">
                  <c:v>78</c:v>
                </c:pt>
                <c:pt idx="1">
                  <c:v>80.582691428571422</c:v>
                </c:pt>
                <c:pt idx="2">
                  <c:v>83.25089945990203</c:v>
                </c:pt>
                <c:pt idx="3">
                  <c:v>86.007455670875757</c:v>
                </c:pt>
                <c:pt idx="4">
                  <c:v>88.85528539593227</c:v>
                </c:pt>
                <c:pt idx="5">
                  <c:v>91.797410831513588</c:v>
                </c:pt>
                <c:pt idx="6">
                  <c:v>94.836954243303339</c:v>
                </c:pt>
                <c:pt idx="7">
                  <c:v>97.97714127966232</c:v>
                </c:pt>
                <c:pt idx="8">
                  <c:v>101.22130439477662</c:v>
                </c:pt>
                <c:pt idx="9">
                  <c:v>104.57288638515109</c:v>
                </c:pt>
                <c:pt idx="10">
                  <c:v>108.03544404320114</c:v>
                </c:pt>
                <c:pt idx="11">
                  <c:v>111.61265193182017</c:v>
                </c:pt>
                <c:pt idx="12">
                  <c:v>115.30830628392835</c:v>
                </c:pt>
                <c:pt idx="13">
                  <c:v>119.12632903114105</c:v>
                </c:pt>
                <c:pt idx="14">
                  <c:v>123.07077196583218</c:v>
                </c:pt>
                <c:pt idx="15">
                  <c:v>127.14582104100941</c:v>
                </c:pt>
                <c:pt idx="16">
                  <c:v>131.35580081256444</c:v>
                </c:pt>
                <c:pt idx="17">
                  <c:v>135.70517902861246</c:v>
                </c:pt>
                <c:pt idx="18" formatCode="General">
                  <c:v>200</c:v>
                </c:pt>
                <c:pt idx="19">
                  <c:v>206.62228571428571</c:v>
                </c:pt>
                <c:pt idx="20">
                  <c:v>213.46384476897958</c:v>
                </c:pt>
                <c:pt idx="21">
                  <c:v>220.53193761763018</c:v>
                </c:pt>
                <c:pt idx="22">
                  <c:v>227.83406511777508</c:v>
                </c:pt>
                <c:pt idx="23">
                  <c:v>235.37797649106051</c:v>
                </c:pt>
                <c:pt idx="24">
                  <c:v>243.17167754693165</c:v>
                </c:pt>
                <c:pt idx="25">
                  <c:v>251.22343917862133</c:v>
                </c:pt>
                <c:pt idx="26">
                  <c:v>259.54180614045288</c:v>
                </c:pt>
                <c:pt idx="27">
                  <c:v>268.13560611577202</c:v>
                </c:pt>
                <c:pt idx="28">
                  <c:v>277.01395908513109</c:v>
                </c:pt>
                <c:pt idx="29">
                  <c:v>286.18628700466707</c:v>
                </c:pt>
                <c:pt idx="30">
                  <c:v>295.66232380494444</c:v>
                </c:pt>
                <c:pt idx="31">
                  <c:v>305.45212572087445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D-4762-99F1-DD0473E9B105}"/>
            </c:ext>
          </c:extLst>
        </c:ser>
        <c:ser>
          <c:idx val="0"/>
          <c:order val="1"/>
          <c:tx>
            <c:v>Annual MCQ Rehab Debt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Rehab!$B$25:$B$56</c:f>
              <c:numCache>
                <c:formatCode>General</c:formatCode>
                <c:ptCount val="3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</c:numCache>
            </c:numRef>
          </c:cat>
          <c:val>
            <c:numRef>
              <c:f>Rehab!$J$24:$J$55</c:f>
              <c:numCache>
                <c:formatCode>#,##0.00</c:formatCode>
                <c:ptCount val="32"/>
                <c:pt idx="2">
                  <c:v>-6.873004639565238</c:v>
                </c:pt>
                <c:pt idx="3">
                  <c:v>-7.8074228321738985</c:v>
                </c:pt>
                <c:pt idx="4">
                  <c:v>-6.8477319375652144</c:v>
                </c:pt>
                <c:pt idx="5">
                  <c:v>-6.287051529608874</c:v>
                </c:pt>
                <c:pt idx="6">
                  <c:v>-7.7024189507567087</c:v>
                </c:pt>
                <c:pt idx="7">
                  <c:v>-8.0749699359040505</c:v>
                </c:pt>
                <c:pt idx="8">
                  <c:v>-11.023862963606234</c:v>
                </c:pt>
                <c:pt idx="9">
                  <c:v>-11.88499548800263</c:v>
                </c:pt>
                <c:pt idx="10">
                  <c:v>-7.444930926712118</c:v>
                </c:pt>
                <c:pt idx="11">
                  <c:v>-9.1212637479946466</c:v>
                </c:pt>
                <c:pt idx="12">
                  <c:v>-5.6275471636158159</c:v>
                </c:pt>
                <c:pt idx="13">
                  <c:v>-7.5673754274345697</c:v>
                </c:pt>
                <c:pt idx="14">
                  <c:v>-7.8512882182638464</c:v>
                </c:pt>
                <c:pt idx="15">
                  <c:v>-7.6353458787806403</c:v>
                </c:pt>
                <c:pt idx="16">
                  <c:v>-3.784645164491053</c:v>
                </c:pt>
                <c:pt idx="17">
                  <c:v>-5.997985420019404</c:v>
                </c:pt>
                <c:pt idx="18">
                  <c:v>-7.3316238493014794</c:v>
                </c:pt>
                <c:pt idx="19">
                  <c:v>-7.5585003224982188</c:v>
                </c:pt>
                <c:pt idx="20">
                  <c:v>-8.0557746641088102</c:v>
                </c:pt>
                <c:pt idx="21">
                  <c:v>-9.6275164615661311</c:v>
                </c:pt>
                <c:pt idx="22">
                  <c:v>-9.8778318895668917</c:v>
                </c:pt>
                <c:pt idx="23">
                  <c:v>-10.134655518695581</c:v>
                </c:pt>
                <c:pt idx="24">
                  <c:v>-10.398156562181612</c:v>
                </c:pt>
                <c:pt idx="25">
                  <c:v>-10.668508632798421</c:v>
                </c:pt>
                <c:pt idx="26">
                  <c:v>-10.945889857251132</c:v>
                </c:pt>
                <c:pt idx="27">
                  <c:v>-11.230482993539738</c:v>
                </c:pt>
                <c:pt idx="28">
                  <c:v>-11.522475551371713</c:v>
                </c:pt>
                <c:pt idx="29">
                  <c:v>-11.822059915707371</c:v>
                </c:pt>
                <c:pt idx="30">
                  <c:v>-12.129433473515746</c:v>
                </c:pt>
                <c:pt idx="31">
                  <c:v>-12.444798743827221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D3ED-4762-99F1-DD0473E9B105}"/>
            </c:ext>
          </c:extLst>
        </c:ser>
        <c:ser>
          <c:idx val="2"/>
          <c:order val="2"/>
          <c:tx>
            <c:v>MCQ Estimated Gravel Sales Amount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Rehab!$U$24:$U$43</c:f>
              <c:numCache>
                <c:formatCode>0.00</c:formatCode>
                <c:ptCount val="20"/>
                <c:pt idx="0">
                  <c:v>5.1530413760914096</c:v>
                </c:pt>
                <c:pt idx="1">
                  <c:v>7.3057219239130369</c:v>
                </c:pt>
                <c:pt idx="2">
                  <c:v>9.3042987260869481</c:v>
                </c:pt>
                <c:pt idx="3">
                  <c:v>5.4489675652173881</c:v>
                </c:pt>
                <c:pt idx="4">
                  <c:v>7.4475443673913002</c:v>
                </c:pt>
                <c:pt idx="5">
                  <c:v>8.3600598260869514</c:v>
                </c:pt>
                <c:pt idx="6">
                  <c:v>6.866258957608693</c:v>
                </c:pt>
                <c:pt idx="7">
                  <c:v>11.150789618478257</c:v>
                </c:pt>
                <c:pt idx="8">
                  <c:v>9.0001269065217357</c:v>
                </c:pt>
                <c:pt idx="9">
                  <c:v>10.254135880434779</c:v>
                </c:pt>
                <c:pt idx="10">
                  <c:v>9.8249363804347798</c:v>
                </c:pt>
                <c:pt idx="11">
                  <c:v>10.985641115217389</c:v>
                </c:pt>
                <c:pt idx="12">
                  <c:v>20.17704171195652</c:v>
                </c:pt>
                <c:pt idx="13">
                  <c:v>17.379780622826082</c:v>
                </c:pt>
                <c:pt idx="14">
                  <c:v>20.444824878260864</c:v>
                </c:pt>
                <c:pt idx="15">
                  <c:v>15.669513919565215</c:v>
                </c:pt>
                <c:pt idx="16">
                  <c:v>25.70531788043478</c:v>
                </c:pt>
                <c:pt idx="17">
                  <c:v>23.434292699999997</c:v>
                </c:pt>
                <c:pt idx="18">
                  <c:v>20.219028619565218</c:v>
                </c:pt>
                <c:pt idx="19">
                  <c:v>9.3304239130434787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6A-4F4D-8333-0C6831CDB07F}"/>
            </c:ext>
          </c:extLst>
        </c:ser>
        <c:ser>
          <c:idx val="3"/>
          <c:order val="3"/>
          <c:tx>
            <c:v>MCQ Estimated Gravel Sales/Usage Profit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Rehab!$B$25:$B$56</c:f>
              <c:numCache>
                <c:formatCode>General</c:formatCode>
                <c:ptCount val="3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</c:numCache>
            </c:numRef>
          </c:cat>
          <c:val>
            <c:numRef>
              <c:f>Rehab!$T$24:$T$43</c:f>
              <c:numCache>
                <c:formatCode>General</c:formatCode>
                <c:ptCount val="20"/>
                <c:pt idx="2" formatCode="0.00">
                  <c:v>-5.0121448943478484</c:v>
                </c:pt>
                <c:pt idx="3" formatCode="0.00">
                  <c:v>-6.7176293191304213</c:v>
                </c:pt>
                <c:pt idx="4" formatCode="0.00">
                  <c:v>-5.358223064086955</c:v>
                </c:pt>
                <c:pt idx="5" formatCode="0.00">
                  <c:v>-4.6150395643914841</c:v>
                </c:pt>
                <c:pt idx="6" formatCode="0.00">
                  <c:v>-6.3291671592349701</c:v>
                </c:pt>
                <c:pt idx="7" formatCode="0.00">
                  <c:v>-5.8448120122083989</c:v>
                </c:pt>
                <c:pt idx="8" formatCode="0.00">
                  <c:v>-9.2238375823018863</c:v>
                </c:pt>
                <c:pt idx="9" formatCode="0.00">
                  <c:v>-9.8341683119156738</c:v>
                </c:pt>
                <c:pt idx="10" formatCode="0.00">
                  <c:v>-5.4799436506251622</c:v>
                </c:pt>
                <c:pt idx="11" formatCode="0.00">
                  <c:v>-6.9241355249511685</c:v>
                </c:pt>
                <c:pt idx="12" formatCode="0.00">
                  <c:v>-1.5921388212245118</c:v>
                </c:pt>
                <c:pt idx="13" formatCode="0.00">
                  <c:v>-4.0914193028693528</c:v>
                </c:pt>
                <c:pt idx="14" formatCode="0.00">
                  <c:v>-3.7623232426116733</c:v>
                </c:pt>
                <c:pt idx="15" formatCode="0.00">
                  <c:v>-4.5014430948675965</c:v>
                </c:pt>
                <c:pt idx="16" formatCode="0.00">
                  <c:v>1.3564184115959028</c:v>
                </c:pt>
                <c:pt idx="17" formatCode="0.00">
                  <c:v>-1.3111268800194047</c:v>
                </c:pt>
                <c:pt idx="18" formatCode="0.00">
                  <c:v>-3.2878181253884362</c:v>
                </c:pt>
                <c:pt idx="19" formatCode="0.00">
                  <c:v>-5.6924155398895229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ED-4762-99F1-DD0473E9B105}"/>
            </c:ext>
          </c:extLst>
        </c:ser>
        <c:ser>
          <c:idx val="1"/>
          <c:order val="4"/>
          <c:tx>
            <c:v>Net MCQ Final Rehab Debt (once only increasing cost)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Rehab!$B$25:$B$56</c:f>
              <c:numCache>
                <c:formatCode>General</c:formatCode>
                <c:ptCount val="3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</c:numCache>
            </c:numRef>
          </c:cat>
          <c:val>
            <c:numRef>
              <c:f>Rehab!$I$25:$I$56</c:f>
              <c:numCache>
                <c:formatCode>#,##0.00</c:formatCode>
                <c:ptCount val="32"/>
                <c:pt idx="0">
                  <c:v>-225.81135561521739</c:v>
                </c:pt>
                <c:pt idx="1">
                  <c:v>-232.68436025478263</c:v>
                </c:pt>
                <c:pt idx="2">
                  <c:v>-240.49178308695653</c:v>
                </c:pt>
                <c:pt idx="3">
                  <c:v>-247.33951502452175</c:v>
                </c:pt>
                <c:pt idx="4">
                  <c:v>-253.62656655413062</c:v>
                </c:pt>
                <c:pt idx="5">
                  <c:v>-261.32898550488733</c:v>
                </c:pt>
                <c:pt idx="6">
                  <c:v>-269.40395544079138</c:v>
                </c:pt>
                <c:pt idx="7">
                  <c:v>-280.42781840439761</c:v>
                </c:pt>
                <c:pt idx="8">
                  <c:v>-292.31281389240024</c:v>
                </c:pt>
                <c:pt idx="9">
                  <c:v>-299.75774481911236</c:v>
                </c:pt>
                <c:pt idx="10">
                  <c:v>-308.87900856710701</c:v>
                </c:pt>
                <c:pt idx="11">
                  <c:v>-314.50655573072282</c:v>
                </c:pt>
                <c:pt idx="12">
                  <c:v>-322.07393115815739</c:v>
                </c:pt>
                <c:pt idx="13">
                  <c:v>-329.92521937642124</c:v>
                </c:pt>
                <c:pt idx="14">
                  <c:v>-337.56056525520188</c:v>
                </c:pt>
                <c:pt idx="15">
                  <c:v>-341.34521041969293</c:v>
                </c:pt>
                <c:pt idx="16">
                  <c:v>-347.34319583971234</c:v>
                </c:pt>
                <c:pt idx="17">
                  <c:v>-354.67481968901382</c:v>
                </c:pt>
                <c:pt idx="18">
                  <c:v>-362.23332001151203</c:v>
                </c:pt>
                <c:pt idx="19">
                  <c:v>-370.28909467562085</c:v>
                </c:pt>
                <c:pt idx="20">
                  <c:v>-379.91661113718698</c:v>
                </c:pt>
                <c:pt idx="21">
                  <c:v>-389.79444302675387</c:v>
                </c:pt>
                <c:pt idx="22">
                  <c:v>-399.92909854544945</c:v>
                </c:pt>
                <c:pt idx="23">
                  <c:v>-410.32725510763106</c:v>
                </c:pt>
                <c:pt idx="24">
                  <c:v>-420.99576374042948</c:v>
                </c:pt>
                <c:pt idx="25">
                  <c:v>-431.94165359768061</c:v>
                </c:pt>
                <c:pt idx="26">
                  <c:v>-443.17213659122035</c:v>
                </c:pt>
                <c:pt idx="27">
                  <c:v>-454.69461214259206</c:v>
                </c:pt>
                <c:pt idx="28">
                  <c:v>-466.51667205829943</c:v>
                </c:pt>
                <c:pt idx="29">
                  <c:v>-478.64610553181518</c:v>
                </c:pt>
                <c:pt idx="30">
                  <c:v>-491.0909042756424</c:v>
                </c:pt>
                <c:pt idx="31">
                  <c:v>-503.85926778680908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ED-4762-99F1-DD0473E9B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2312832"/>
        <c:axId val="662306272"/>
        <c:extLst/>
      </c:lineChart>
      <c:catAx>
        <c:axId val="66231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49530690765927"/>
              <c:y val="0.612166835718388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306272"/>
        <c:crosses val="autoZero"/>
        <c:auto val="1"/>
        <c:lblAlgn val="ctr"/>
        <c:lblOffset val="100"/>
        <c:noMultiLvlLbl val="0"/>
      </c:catAx>
      <c:valAx>
        <c:axId val="662306272"/>
        <c:scaling>
          <c:orientation val="minMax"/>
          <c:max val="500"/>
          <c:min val="-500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2941"/>
                </a:srgb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Income $Millions</a:t>
                </a:r>
              </a:p>
            </c:rich>
          </c:tx>
          <c:layout>
            <c:manualLayout>
              <c:xMode val="edge"/>
              <c:yMode val="edge"/>
              <c:x val="1.8970201845935074E-2"/>
              <c:y val="0.420142204884369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312832"/>
        <c:crosses val="autoZero"/>
        <c:crossBetween val="between"/>
      </c:valAx>
      <c:spPr>
        <a:solidFill>
          <a:srgbClr val="FFEDB3">
            <a:alpha val="53000"/>
          </a:srgb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890261078860662"/>
          <c:y val="0.14357649403307579"/>
          <c:w val="0.54354167920545438"/>
          <c:h val="0.2544637185827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rgbClr val="7030A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MCQ Estimated Income showing Annual 'Profit' &amp; Rehab Debt Increase</a:t>
            </a:r>
          </a:p>
        </c:rich>
      </c:tx>
      <c:layout>
        <c:manualLayout>
          <c:xMode val="edge"/>
          <c:yMode val="edge"/>
          <c:x val="0.14963747094103713"/>
          <c:y val="1.800748981071417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676735524422758E-2"/>
          <c:y val="0.1228704866467783"/>
          <c:w val="0.88854042429301539"/>
          <c:h val="0.81730652958532146"/>
        </c:manualLayout>
      </c:layout>
      <c:lineChart>
        <c:grouping val="standard"/>
        <c:varyColors val="0"/>
        <c:ser>
          <c:idx val="3"/>
          <c:order val="0"/>
          <c:tx>
            <c:v>Annual MCQ Estimated Gravel Sales/Usage 'Profit'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0369518408868389E-2"/>
                  <c:y val="9.323963596575855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F9E-4915-A13A-EFAC3DDC7728}"/>
                </c:ext>
              </c:extLst>
            </c:dLbl>
            <c:dLbl>
              <c:idx val="1"/>
              <c:layout>
                <c:manualLayout>
                  <c:x val="-3.2107398236530936E-2"/>
                  <c:y val="-3.5297548481243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F9E-4915-A13A-EFAC3DDC7728}"/>
                </c:ext>
              </c:extLst>
            </c:dLbl>
            <c:dLbl>
              <c:idx val="2"/>
              <c:layout>
                <c:manualLayout>
                  <c:x val="-2.3417999098218262E-2"/>
                  <c:y val="-4.2734467160880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F9E-4915-A13A-EFAC3DDC7728}"/>
                </c:ext>
              </c:extLst>
            </c:dLbl>
            <c:dLbl>
              <c:idx val="3"/>
              <c:layout>
                <c:manualLayout>
                  <c:x val="-2.8631638581205855E-2"/>
                  <c:y val="1.3042422936394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F9E-4915-A13A-EFAC3DDC7728}"/>
                </c:ext>
              </c:extLst>
            </c:dLbl>
            <c:dLbl>
              <c:idx val="4"/>
              <c:layout>
                <c:manualLayout>
                  <c:x val="-2.8631638581205855E-2"/>
                  <c:y val="-2.0423711121970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F9E-4915-A13A-EFAC3DDC7728}"/>
                </c:ext>
              </c:extLst>
            </c:dLbl>
            <c:dLbl>
              <c:idx val="5"/>
              <c:layout>
                <c:manualLayout>
                  <c:x val="-2.5155878925880761E-2"/>
                  <c:y val="-3.5297548481243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F9E-4915-A13A-EFAC3DDC7728}"/>
                </c:ext>
              </c:extLst>
            </c:dLbl>
            <c:dLbl>
              <c:idx val="6"/>
              <c:layout>
                <c:manualLayout>
                  <c:x val="-3.0369518408868389E-2"/>
                  <c:y val="1.6760882276212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F9E-4915-A13A-EFAC3DDC7728}"/>
                </c:ext>
              </c:extLst>
            </c:dLbl>
            <c:dLbl>
              <c:idx val="7"/>
              <c:layout>
                <c:manualLayout>
                  <c:x val="-2.5155878925880795E-2"/>
                  <c:y val="-3.5297548481243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9E-4915-A13A-EFAC3DDC7728}"/>
                </c:ext>
              </c:extLst>
            </c:dLbl>
            <c:dLbl>
              <c:idx val="8"/>
              <c:layout>
                <c:manualLayout>
                  <c:x val="-3.2107398236530985E-2"/>
                  <c:y val="2.0479341616030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9E-4915-A13A-EFAC3DDC7728}"/>
                </c:ext>
              </c:extLst>
            </c:dLbl>
            <c:dLbl>
              <c:idx val="9"/>
              <c:layout>
                <c:manualLayout>
                  <c:x val="-2.6893758753543388E-2"/>
                  <c:y val="-3.5297548481243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9E-4915-A13A-EFAC3DDC7728}"/>
                </c:ext>
              </c:extLst>
            </c:dLbl>
            <c:dLbl>
              <c:idx val="10"/>
              <c:layout>
                <c:manualLayout>
                  <c:x val="-3.5583157891855982E-2"/>
                  <c:y val="3.1634719635485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9E-4915-A13A-EFAC3DDC7728}"/>
                </c:ext>
              </c:extLst>
            </c:dLbl>
            <c:dLbl>
              <c:idx val="11"/>
              <c:layout>
                <c:manualLayout>
                  <c:x val="-2.8631638581205855E-2"/>
                  <c:y val="1.3042422936394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9E-4915-A13A-EFAC3DDC7728}"/>
                </c:ext>
              </c:extLst>
            </c:dLbl>
            <c:dLbl>
              <c:idx val="12"/>
              <c:layout>
                <c:manualLayout>
                  <c:x val="-2.8631638581205921E-2"/>
                  <c:y val="-3.1579089141425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F9E-4915-A13A-EFAC3DDC7728}"/>
                </c:ext>
              </c:extLst>
            </c:dLbl>
            <c:dLbl>
              <c:idx val="13"/>
              <c:layout>
                <c:manualLayout>
                  <c:x val="-2.8631638581205921E-2"/>
                  <c:y val="2.7916260295667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9E-4915-A13A-EFAC3DDC7728}"/>
                </c:ext>
              </c:extLst>
            </c:dLbl>
            <c:dLbl>
              <c:idx val="14"/>
              <c:layout>
                <c:manualLayout>
                  <c:x val="-2.8631638581205921E-2"/>
                  <c:y val="-2.7860629801607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F9E-4915-A13A-EFAC3DDC7728}"/>
                </c:ext>
              </c:extLst>
            </c:dLbl>
            <c:dLbl>
              <c:idx val="15"/>
              <c:layout>
                <c:manualLayout>
                  <c:x val="-2.8631638581205921E-2"/>
                  <c:y val="2.419780095584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9E-4915-A13A-EFAC3DDC7728}"/>
                </c:ext>
              </c:extLst>
            </c:dLbl>
            <c:dLbl>
              <c:idx val="16"/>
              <c:layout>
                <c:manualLayout>
                  <c:x val="-2.5155878925880795E-2"/>
                  <c:y val="-2.7860629801607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9E-4915-A13A-EFAC3DDC7728}"/>
                </c:ext>
              </c:extLst>
            </c:dLbl>
            <c:dLbl>
              <c:idx val="17"/>
              <c:layout>
                <c:manualLayout>
                  <c:x val="-3.7321037719518578E-2"/>
                  <c:y val="3.1634719635485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9E-4915-A13A-EFAC3DDC7728}"/>
                </c:ext>
              </c:extLst>
            </c:dLbl>
            <c:dLbl>
              <c:idx val="18"/>
              <c:layout>
                <c:manualLayout>
                  <c:x val="-2.1680119270555732E-2"/>
                  <c:y val="-2.0423711121970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9E-4915-A13A-EFAC3DDC7728}"/>
                </c:ext>
              </c:extLst>
            </c:dLbl>
            <c:dLbl>
              <c:idx val="19"/>
              <c:layout>
                <c:manualLayout>
                  <c:x val="-4.3013209939305481E-3"/>
                  <c:y val="-9.268333102515581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9E-4915-A13A-EFAC3DDC77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Rehab!$B$24:$B$56</c:f>
              <c:numCache>
                <c:formatCode>General</c:formatCode>
                <c:ptCount val="3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</c:numCache>
            </c:numRef>
          </c:cat>
          <c:val>
            <c:numRef>
              <c:f>Rehab!$G$24:$G$43</c:f>
              <c:numCache>
                <c:formatCode>#,##0.00</c:formatCode>
                <c:ptCount val="20"/>
                <c:pt idx="0">
                  <c:v>1.0306082752182817</c:v>
                </c:pt>
                <c:pt idx="1">
                  <c:v>1.4611443847826073</c:v>
                </c:pt>
                <c:pt idx="2">
                  <c:v>1.8608597452173898</c:v>
                </c:pt>
                <c:pt idx="3">
                  <c:v>1.0897935130434775</c:v>
                </c:pt>
                <c:pt idx="4">
                  <c:v>1.4895088734782598</c:v>
                </c:pt>
                <c:pt idx="5">
                  <c:v>1.6720119652173904</c:v>
                </c:pt>
                <c:pt idx="6">
                  <c:v>1.3732517915217386</c:v>
                </c:pt>
                <c:pt idx="7">
                  <c:v>2.2301579236956517</c:v>
                </c:pt>
                <c:pt idx="8">
                  <c:v>1.800025381304347</c:v>
                </c:pt>
                <c:pt idx="9">
                  <c:v>2.0508271760869561</c:v>
                </c:pt>
                <c:pt idx="10">
                  <c:v>1.964987276086956</c:v>
                </c:pt>
                <c:pt idx="11">
                  <c:v>2.1971282230434777</c:v>
                </c:pt>
                <c:pt idx="12">
                  <c:v>4.0354083423913041</c:v>
                </c:pt>
                <c:pt idx="13">
                  <c:v>3.4759561245652169</c:v>
                </c:pt>
                <c:pt idx="14">
                  <c:v>4.0889649756521731</c:v>
                </c:pt>
                <c:pt idx="15">
                  <c:v>3.1339027839130433</c:v>
                </c:pt>
                <c:pt idx="16">
                  <c:v>5.1410635760869559</c:v>
                </c:pt>
                <c:pt idx="17">
                  <c:v>4.6868585399999994</c:v>
                </c:pt>
                <c:pt idx="18">
                  <c:v>4.0438057239130432</c:v>
                </c:pt>
                <c:pt idx="19">
                  <c:v>1.8660847826086957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B5-452F-A5CD-82BAF25358E2}"/>
            </c:ext>
          </c:extLst>
        </c:ser>
        <c:ser>
          <c:idx val="4"/>
          <c:order val="1"/>
          <c:tx>
            <c:v>Annual Net 'Profit' After Rehab Debt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Rehab!$B$24:$B$56</c:f>
              <c:numCache>
                <c:formatCode>General</c:formatCode>
                <c:ptCount val="3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</c:numCache>
            </c:numRef>
          </c:cat>
          <c:val>
            <c:numRef>
              <c:f>Rehab!$T$24:$T$43</c:f>
              <c:numCache>
                <c:formatCode>General</c:formatCode>
                <c:ptCount val="20"/>
                <c:pt idx="2" formatCode="0.00">
                  <c:v>-5.0121448943478484</c:v>
                </c:pt>
                <c:pt idx="3" formatCode="0.00">
                  <c:v>-6.7176293191304213</c:v>
                </c:pt>
                <c:pt idx="4" formatCode="0.00">
                  <c:v>-5.358223064086955</c:v>
                </c:pt>
                <c:pt idx="5" formatCode="0.00">
                  <c:v>-4.6150395643914841</c:v>
                </c:pt>
                <c:pt idx="6" formatCode="0.00">
                  <c:v>-6.3291671592349701</c:v>
                </c:pt>
                <c:pt idx="7" formatCode="0.00">
                  <c:v>-5.8448120122083989</c:v>
                </c:pt>
                <c:pt idx="8" formatCode="0.00">
                  <c:v>-9.2238375823018863</c:v>
                </c:pt>
                <c:pt idx="9" formatCode="0.00">
                  <c:v>-9.8341683119156738</c:v>
                </c:pt>
                <c:pt idx="10" formatCode="0.00">
                  <c:v>-5.4799436506251622</c:v>
                </c:pt>
                <c:pt idx="11" formatCode="0.00">
                  <c:v>-6.9241355249511685</c:v>
                </c:pt>
                <c:pt idx="12" formatCode="0.00">
                  <c:v>-1.5921388212245118</c:v>
                </c:pt>
                <c:pt idx="13" formatCode="0.00">
                  <c:v>-4.0914193028693528</c:v>
                </c:pt>
                <c:pt idx="14" formatCode="0.00">
                  <c:v>-3.7623232426116733</c:v>
                </c:pt>
                <c:pt idx="15" formatCode="0.00">
                  <c:v>-4.5014430948675965</c:v>
                </c:pt>
                <c:pt idx="16" formatCode="0.00">
                  <c:v>1.3564184115959028</c:v>
                </c:pt>
                <c:pt idx="17" formatCode="0.00">
                  <c:v>-1.3111268800194047</c:v>
                </c:pt>
                <c:pt idx="18" formatCode="0.00">
                  <c:v>-3.2878181253884362</c:v>
                </c:pt>
                <c:pt idx="19" formatCode="0.00">
                  <c:v>-5.6924155398895229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A-4AF0-B6EF-7A3177EB8BD3}"/>
            </c:ext>
          </c:extLst>
        </c:ser>
        <c:ser>
          <c:idx val="0"/>
          <c:order val="2"/>
          <c:tx>
            <c:v>Annual Rehab Dept - Zero Hole Increase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00206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Rehab!$B$24:$B$56</c:f>
              <c:numCache>
                <c:formatCode>General</c:formatCode>
                <c:ptCount val="3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</c:numCache>
            </c:numRef>
          </c:cat>
          <c:val>
            <c:numRef>
              <c:f>Rehab!$J$24:$J$56</c:f>
              <c:numCache>
                <c:formatCode>#,##0.00</c:formatCode>
                <c:ptCount val="33"/>
                <c:pt idx="2">
                  <c:v>-6.873004639565238</c:v>
                </c:pt>
                <c:pt idx="3">
                  <c:v>-7.8074228321738985</c:v>
                </c:pt>
                <c:pt idx="4">
                  <c:v>-6.8477319375652144</c:v>
                </c:pt>
                <c:pt idx="5">
                  <c:v>-6.287051529608874</c:v>
                </c:pt>
                <c:pt idx="6">
                  <c:v>-7.7024189507567087</c:v>
                </c:pt>
                <c:pt idx="7">
                  <c:v>-8.0749699359040505</c:v>
                </c:pt>
                <c:pt idx="8">
                  <c:v>-11.023862963606234</c:v>
                </c:pt>
                <c:pt idx="9">
                  <c:v>-11.88499548800263</c:v>
                </c:pt>
                <c:pt idx="10">
                  <c:v>-7.444930926712118</c:v>
                </c:pt>
                <c:pt idx="11">
                  <c:v>-9.1212637479946466</c:v>
                </c:pt>
                <c:pt idx="12">
                  <c:v>-5.6275471636158159</c:v>
                </c:pt>
                <c:pt idx="13">
                  <c:v>-7.5673754274345697</c:v>
                </c:pt>
                <c:pt idx="14">
                  <c:v>-7.8512882182638464</c:v>
                </c:pt>
                <c:pt idx="15">
                  <c:v>-7.6353458787806403</c:v>
                </c:pt>
                <c:pt idx="16">
                  <c:v>-3.784645164491053</c:v>
                </c:pt>
                <c:pt idx="17">
                  <c:v>-5.997985420019404</c:v>
                </c:pt>
                <c:pt idx="18">
                  <c:v>-7.3316238493014794</c:v>
                </c:pt>
                <c:pt idx="19">
                  <c:v>-7.5585003224982188</c:v>
                </c:pt>
                <c:pt idx="20">
                  <c:v>-8.0557746641088102</c:v>
                </c:pt>
                <c:pt idx="21">
                  <c:v>-9.6275164615661311</c:v>
                </c:pt>
                <c:pt idx="22">
                  <c:v>-9.8778318895668917</c:v>
                </c:pt>
                <c:pt idx="23">
                  <c:v>-10.134655518695581</c:v>
                </c:pt>
                <c:pt idx="24">
                  <c:v>-10.398156562181612</c:v>
                </c:pt>
                <c:pt idx="25">
                  <c:v>-10.668508632798421</c:v>
                </c:pt>
                <c:pt idx="26">
                  <c:v>-10.945889857251132</c:v>
                </c:pt>
                <c:pt idx="27">
                  <c:v>-11.230482993539738</c:v>
                </c:pt>
                <c:pt idx="28">
                  <c:v>-11.522475551371713</c:v>
                </c:pt>
                <c:pt idx="29">
                  <c:v>-11.822059915707371</c:v>
                </c:pt>
                <c:pt idx="30">
                  <c:v>-12.129433473515746</c:v>
                </c:pt>
                <c:pt idx="31">
                  <c:v>-12.444798743827221</c:v>
                </c:pt>
                <c:pt idx="32">
                  <c:v>-12.768363511166683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23-430D-BE74-9E54699D54FA}"/>
            </c:ext>
          </c:extLst>
        </c:ser>
        <c:ser>
          <c:idx val="1"/>
          <c:order val="3"/>
          <c:tx>
            <c:v>Annual Debt 5% Annual Hole Increase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Rehab!$B$24:$B$56</c:f>
              <c:numCache>
                <c:formatCode>General</c:formatCode>
                <c:ptCount val="3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</c:numCache>
            </c:numRef>
          </c:cat>
          <c:val>
            <c:numRef>
              <c:f>Rehab!$M$24:$M$56</c:f>
              <c:numCache>
                <c:formatCode>#,##0.00</c:formatCode>
                <c:ptCount val="33"/>
                <c:pt idx="21">
                  <c:v>-10.298850590213021</c:v>
                </c:pt>
                <c:pt idx="22">
                  <c:v>-10.571559621503354</c:v>
                </c:pt>
                <c:pt idx="23">
                  <c:v>-10.851487499421751</c:v>
                </c:pt>
                <c:pt idx="24">
                  <c:v>-11.138825252687752</c:v>
                </c:pt>
                <c:pt idx="25">
                  <c:v>-11.433768963574153</c:v>
                </c:pt>
                <c:pt idx="26">
                  <c:v>-11.736519901555596</c:v>
                </c:pt>
                <c:pt idx="27">
                  <c:v>-12.047284660492949</c:v>
                </c:pt>
                <c:pt idx="28">
                  <c:v>-12.366275299441384</c:v>
                </c:pt>
                <c:pt idx="29">
                  <c:v>-12.693709487184663</c:v>
                </c:pt>
                <c:pt idx="30">
                  <c:v>-13.029810650588217</c:v>
                </c:pt>
                <c:pt idx="31">
                  <c:v>-13.374808126875564</c:v>
                </c:pt>
                <c:pt idx="32">
                  <c:v>-13.728937319929742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2-46EC-BAFE-A014910D3414}"/>
            </c:ext>
          </c:extLst>
        </c:ser>
        <c:ser>
          <c:idx val="2"/>
          <c:order val="4"/>
          <c:tx>
            <c:v>Annual Debt 10% Annual Hole Increase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Rehab!$B$24:$B$56</c:f>
              <c:numCache>
                <c:formatCode>General</c:formatCode>
                <c:ptCount val="3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</c:numCache>
            </c:numRef>
          </c:cat>
          <c:val>
            <c:numRef>
              <c:f>Rehab!$P$24:$P$56</c:f>
              <c:numCache>
                <c:formatCode>#,##0.00</c:formatCode>
                <c:ptCount val="33"/>
                <c:pt idx="21">
                  <c:v>-10.970184718859855</c:v>
                </c:pt>
                <c:pt idx="22">
                  <c:v>-11.265287353439874</c:v>
                </c:pt>
                <c:pt idx="23">
                  <c:v>-11.56831948014792</c:v>
                </c:pt>
                <c:pt idx="24">
                  <c:v>-11.87949394319395</c:v>
                </c:pt>
                <c:pt idx="25">
                  <c:v>-12.199029294349828</c:v>
                </c:pt>
                <c:pt idx="26">
                  <c:v>-12.527149945860117</c:v>
                </c:pt>
                <c:pt idx="27">
                  <c:v>-12.864086327446103</c:v>
                </c:pt>
                <c:pt idx="28">
                  <c:v>-13.210075047510998</c:v>
                </c:pt>
                <c:pt idx="29">
                  <c:v>-13.565359058662068</c:v>
                </c:pt>
                <c:pt idx="30">
                  <c:v>-13.930187827660689</c:v>
                </c:pt>
                <c:pt idx="31">
                  <c:v>-14.304817509923737</c:v>
                </c:pt>
                <c:pt idx="32">
                  <c:v>-14.68951112869297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2-46EC-BAFE-A014910D3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2312832"/>
        <c:axId val="662306272"/>
      </c:lineChart>
      <c:catAx>
        <c:axId val="66231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Calendar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306272"/>
        <c:crosses val="autoZero"/>
        <c:auto val="1"/>
        <c:lblAlgn val="ctr"/>
        <c:lblOffset val="100"/>
        <c:noMultiLvlLbl val="0"/>
      </c:catAx>
      <c:valAx>
        <c:axId val="662306272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2941"/>
                </a:srgb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Debt $</a:t>
                </a:r>
                <a:r>
                  <a:rPr lang="en-AU" baseline="0"/>
                  <a:t> MILLION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4809265345847341E-2"/>
              <c:y val="0.44152751967343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312832"/>
        <c:crosses val="autoZero"/>
        <c:crossBetween val="between"/>
      </c:valAx>
      <c:spPr>
        <a:solidFill>
          <a:srgbClr val="FFEDB3">
            <a:alpha val="53000"/>
          </a:srgb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235581741927309"/>
          <c:y val="0.13204102719657737"/>
          <c:w val="0.49106552857540153"/>
          <c:h val="0.249294883487786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rgbClr val="7030A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Eden Project Anglesea Projected Income &amp; MCQ Estimated Rehab Debt</a:t>
            </a:r>
          </a:p>
        </c:rich>
      </c:tx>
      <c:layout>
        <c:manualLayout>
          <c:xMode val="edge"/>
          <c:yMode val="edge"/>
          <c:x val="0.14963747094103713"/>
          <c:y val="1.800748981071417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44257779649903"/>
          <c:y val="0.10089347529740436"/>
          <c:w val="0.82061657637149332"/>
          <c:h val="0.75004076814733867"/>
        </c:manualLayout>
      </c:layout>
      <c:lineChart>
        <c:grouping val="standard"/>
        <c:varyColors val="0"/>
        <c:ser>
          <c:idx val="2"/>
          <c:order val="0"/>
          <c:tx>
            <c:v>Accumulating Anglesea GVA  with Compounding Interest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'Eden Anglesea'!$B$9:$B$24</c15:sqref>
                  </c15:fullRef>
                </c:ext>
              </c:extLst>
              <c:f>'Eden Anglesea'!$B$9:$B$24</c:f>
              <c:numCache>
                <c:formatCode>General</c:formatCode>
                <c:ptCount val="1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'Eden Anglesea'!$G$9:$G$26</c15:sqref>
                  </c15:fullRef>
                </c:ext>
              </c:extLst>
              <c:f>'Eden Anglesea'!$G$9:$G$24</c:f>
              <c:numCache>
                <c:formatCode>"$"#,##0.00</c:formatCode>
                <c:ptCount val="16"/>
                <c:pt idx="0">
                  <c:v>30.9</c:v>
                </c:pt>
                <c:pt idx="1">
                  <c:v>63.355195528571429</c:v>
                </c:pt>
                <c:pt idx="2">
                  <c:v>96.885028945658888</c:v>
                </c:pt>
                <c:pt idx="3">
                  <c:v>131.52508304694814</c:v>
                </c:pt>
                <c:pt idx="4">
                  <c:v>167.31211882532267</c:v>
                </c:pt>
                <c:pt idx="5">
                  <c:v>204.28411448265598</c:v>
                </c:pt>
                <c:pt idx="6">
                  <c:v>242.48030573334026</c:v>
                </c:pt>
                <c:pt idx="7">
                  <c:v>281.9412274423222</c:v>
                </c:pt>
                <c:pt idx="8">
                  <c:v>322.70875664183382</c:v>
                </c:pt>
                <c:pt idx="9">
                  <c:v>364.82615697246871</c:v>
                </c:pt>
                <c:pt idx="10">
                  <c:v>408.33812459576569</c:v>
                </c:pt>
                <c:pt idx="11">
                  <c:v>453.2908356270238</c:v>
                </c:pt>
                <c:pt idx="12">
                  <c:v>499.73199513868542</c:v>
                </c:pt>
                <c:pt idx="13">
                  <c:v>547.71088778629178</c:v>
                </c:pt>
                <c:pt idx="14">
                  <c:v>597.2784301107356</c:v>
                </c:pt>
                <c:pt idx="15">
                  <c:v>648.48722457231645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7-4D0A-B7DF-86BC6E675DD9}"/>
            </c:ext>
          </c:extLst>
        </c:ser>
        <c:ser>
          <c:idx val="0"/>
          <c:order val="1"/>
          <c:tx>
            <c:v>Accumulating Anglesea GVA (Gross Value Added)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'Eden Anglesea'!$B$9:$B$24</c15:sqref>
                  </c15:fullRef>
                </c:ext>
              </c:extLst>
              <c:f>'Eden Anglesea'!$B$9:$B$24</c:f>
              <c:numCache>
                <c:formatCode>General</c:formatCode>
                <c:ptCount val="1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'Eden Anglesea'!$D$9:$D$25</c15:sqref>
                  </c15:fullRef>
                </c:ext>
              </c:extLst>
              <c:f>'Eden Anglesea'!$D$9:$D$24</c:f>
              <c:numCache>
                <c:formatCode>"$"#,##0.00</c:formatCode>
                <c:ptCount val="16"/>
                <c:pt idx="0">
                  <c:v>30</c:v>
                </c:pt>
                <c:pt idx="1">
                  <c:v>61.509898571428572</c:v>
                </c:pt>
                <c:pt idx="2">
                  <c:v>94.063134898697967</c:v>
                </c:pt>
                <c:pt idx="3">
                  <c:v>127.69425538538657</c:v>
                </c:pt>
                <c:pt idx="4">
                  <c:v>162.43895031584725</c:v>
                </c:pt>
                <c:pt idx="5">
                  <c:v>198.33409173073397</c:v>
                </c:pt>
                <c:pt idx="6">
                  <c:v>235.41777255664104</c:v>
                </c:pt>
                <c:pt idx="7">
                  <c:v>273.72934703138077</c:v>
                </c:pt>
                <c:pt idx="8">
                  <c:v>313.30947246779982</c:v>
                </c:pt>
                <c:pt idx="9">
                  <c:v>354.20015240045507</c:v>
                </c:pt>
                <c:pt idx="10">
                  <c:v>396.44478116093757</c:v>
                </c:pt>
                <c:pt idx="11">
                  <c:v>440.08818992914928</c:v>
                </c:pt>
                <c:pt idx="12">
                  <c:v>485.17669430940333</c:v>
                </c:pt>
                <c:pt idx="13">
                  <c:v>531.75814348183667</c:v>
                </c:pt>
                <c:pt idx="14">
                  <c:v>579.88197098129672</c:v>
                </c:pt>
                <c:pt idx="15">
                  <c:v>629.59924715758882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2-4795-9CB0-89B1F6F24A59}"/>
            </c:ext>
          </c:extLst>
        </c:ser>
        <c:ser>
          <c:idx val="1"/>
          <c:order val="2"/>
          <c:tx>
            <c:v>Annual Anglesea GVA (Recurring Forever)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'Eden Anglesea'!$B$9:$B$24</c15:sqref>
                  </c15:fullRef>
                </c:ext>
              </c:extLst>
              <c:f>'Eden Anglesea'!$B$9:$B$24</c:f>
              <c:numCache>
                <c:formatCode>General</c:formatCode>
                <c:ptCount val="1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'Eden Anglesea'!$F$9:$F$25</c15:sqref>
                  </c15:fullRef>
                </c:ext>
              </c:extLst>
              <c:f>'Eden Anglesea'!$F$9:$F$24</c:f>
              <c:numCache>
                <c:formatCode>"$"#,##0.00</c:formatCode>
                <c:ptCount val="16"/>
                <c:pt idx="0">
                  <c:v>30.9</c:v>
                </c:pt>
                <c:pt idx="1">
                  <c:v>32.45519552857143</c:v>
                </c:pt>
                <c:pt idx="2">
                  <c:v>33.529833417087467</c:v>
                </c:pt>
                <c:pt idx="3">
                  <c:v>34.640054101289259</c:v>
                </c:pt>
                <c:pt idx="4">
                  <c:v>35.787035778374516</c:v>
                </c:pt>
                <c:pt idx="5">
                  <c:v>36.971995657333323</c:v>
                </c:pt>
                <c:pt idx="6">
                  <c:v>38.196191250684286</c:v>
                </c:pt>
                <c:pt idx="7">
                  <c:v>39.460921708981942</c:v>
                </c:pt>
                <c:pt idx="8">
                  <c:v>40.767529199511628</c:v>
                </c:pt>
                <c:pt idx="9">
                  <c:v>42.117400330634887</c:v>
                </c:pt>
                <c:pt idx="10">
                  <c:v>43.511967623296968</c:v>
                </c:pt>
                <c:pt idx="11">
                  <c:v>44.952711031258083</c:v>
                </c:pt>
                <c:pt idx="12">
                  <c:v>46.441159511661652</c:v>
                </c:pt>
                <c:pt idx="13">
                  <c:v>47.978892647606351</c:v>
                </c:pt>
                <c:pt idx="14">
                  <c:v>49.567542324443814</c:v>
                </c:pt>
                <c:pt idx="15">
                  <c:v>51.208794461580894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F7-4D0A-B7DF-86BC6E675DD9}"/>
            </c:ext>
          </c:extLst>
        </c:ser>
        <c:ser>
          <c:idx val="4"/>
          <c:order val="3"/>
          <c:tx>
            <c:v>MCQ Gravel Sales (2001-2015 Different year scale)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'Eden Anglesea'!$B$9:$B$24</c15:sqref>
                  </c15:fullRef>
                </c:ext>
              </c:extLst>
              <c:f>'Eden Anglesea'!$B$9:$B$24</c:f>
              <c:numCache>
                <c:formatCode>General</c:formatCode>
                <c:ptCount val="1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Estimates!$N$52:$N$66</c15:sqref>
                  </c15:fullRef>
                </c:ext>
              </c:extLst>
              <c:f>Estimates!$N$52:$N$66</c:f>
              <c:numCache>
                <c:formatCode>0.00</c:formatCode>
                <c:ptCount val="15"/>
                <c:pt idx="0">
                  <c:v>5.1530413760914096</c:v>
                </c:pt>
                <c:pt idx="1">
                  <c:v>7.3057219239130369</c:v>
                </c:pt>
                <c:pt idx="2">
                  <c:v>9.3042987260869481</c:v>
                </c:pt>
                <c:pt idx="3">
                  <c:v>5.4489675652173881</c:v>
                </c:pt>
                <c:pt idx="4">
                  <c:v>7.4475443673913002</c:v>
                </c:pt>
                <c:pt idx="5">
                  <c:v>8.3600598260869514</c:v>
                </c:pt>
                <c:pt idx="6">
                  <c:v>6.866258957608693</c:v>
                </c:pt>
                <c:pt idx="7">
                  <c:v>11.150789618478257</c:v>
                </c:pt>
                <c:pt idx="8">
                  <c:v>9.0001269065217357</c:v>
                </c:pt>
                <c:pt idx="9">
                  <c:v>10.254135880434779</c:v>
                </c:pt>
                <c:pt idx="10">
                  <c:v>9.8249363804347798</c:v>
                </c:pt>
                <c:pt idx="11">
                  <c:v>10.985641115217389</c:v>
                </c:pt>
                <c:pt idx="12">
                  <c:v>20.17704171195652</c:v>
                </c:pt>
                <c:pt idx="13">
                  <c:v>17.379780622826082</c:v>
                </c:pt>
                <c:pt idx="14">
                  <c:v>20.444824878260864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45-46CB-B4C5-8A6E97B522EA}"/>
            </c:ext>
          </c:extLst>
        </c:ser>
        <c:ser>
          <c:idx val="5"/>
          <c:order val="4"/>
          <c:tx>
            <c:v>MCQ Accumulated Gravel Sales (2001-2015 Different Year scale)</c:v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  <c:pt idx="13">
                <c:v>2036</c:v>
              </c:pt>
              <c:pt idx="14">
                <c:v>2037</c:v>
              </c:pt>
              <c:pt idx="15">
                <c:v>2038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Estimates!$S$53:$S$67</c15:sqref>
                  </c15:fullRef>
                </c:ext>
              </c:extLst>
              <c:f>Estimates!$S$53:$S$67</c:f>
              <c:numCache>
                <c:formatCode>0.00</c:formatCode>
                <c:ptCount val="15"/>
                <c:pt idx="0">
                  <c:v>5.1530413760914096</c:v>
                </c:pt>
                <c:pt idx="1">
                  <c:v>12.458763300004446</c:v>
                </c:pt>
                <c:pt idx="2">
                  <c:v>21.763062026091394</c:v>
                </c:pt>
                <c:pt idx="3">
                  <c:v>27.212029591308781</c:v>
                </c:pt>
                <c:pt idx="4">
                  <c:v>34.659573958700079</c:v>
                </c:pt>
                <c:pt idx="5">
                  <c:v>43.019633784787032</c:v>
                </c:pt>
                <c:pt idx="6">
                  <c:v>49.885892742395725</c:v>
                </c:pt>
                <c:pt idx="7">
                  <c:v>61.036682360873982</c:v>
                </c:pt>
                <c:pt idx="8">
                  <c:v>70.036809267395711</c:v>
                </c:pt>
                <c:pt idx="9">
                  <c:v>80.290945147830485</c:v>
                </c:pt>
                <c:pt idx="10">
                  <c:v>90.115881528265263</c:v>
                </c:pt>
                <c:pt idx="11">
                  <c:v>101.10152264348265</c:v>
                </c:pt>
                <c:pt idx="12">
                  <c:v>121.27856435543917</c:v>
                </c:pt>
                <c:pt idx="13">
                  <c:v>138.65834497826526</c:v>
                </c:pt>
                <c:pt idx="14">
                  <c:v>159.10316985652614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D2-4795-9CB0-89B1F6F24A59}"/>
            </c:ext>
          </c:extLst>
        </c:ser>
        <c:ser>
          <c:idx val="3"/>
          <c:order val="5"/>
          <c:tx>
            <c:v>MCQ Net Annual Rehab Debt Increment (10% hole increase )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'Eden Anglesea'!$B$9:$B$24</c15:sqref>
                  </c15:fullRef>
                </c:ext>
              </c:extLst>
              <c:f>'Eden Anglesea'!$B$9:$B$24</c:f>
              <c:numCache>
                <c:formatCode>General</c:formatCode>
                <c:ptCount val="1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Rehab!$P$46:$P$62</c15:sqref>
                  </c15:fullRef>
                </c:ext>
              </c:extLst>
              <c:f>Rehab!$P$46:$P$61</c:f>
              <c:numCache>
                <c:formatCode>#,##0.00</c:formatCode>
                <c:ptCount val="16"/>
                <c:pt idx="0">
                  <c:v>-11.265287353439874</c:v>
                </c:pt>
                <c:pt idx="1">
                  <c:v>-11.56831948014792</c:v>
                </c:pt>
                <c:pt idx="2">
                  <c:v>-11.87949394319395</c:v>
                </c:pt>
                <c:pt idx="3">
                  <c:v>-12.199029294349828</c:v>
                </c:pt>
                <c:pt idx="4">
                  <c:v>-12.527149945860117</c:v>
                </c:pt>
                <c:pt idx="5">
                  <c:v>-12.864086327446103</c:v>
                </c:pt>
                <c:pt idx="6">
                  <c:v>-13.210075047510998</c:v>
                </c:pt>
                <c:pt idx="7">
                  <c:v>-13.565359058662068</c:v>
                </c:pt>
                <c:pt idx="8">
                  <c:v>-13.930187827660689</c:v>
                </c:pt>
                <c:pt idx="9">
                  <c:v>-14.304817509923737</c:v>
                </c:pt>
                <c:pt idx="10">
                  <c:v>-14.68951112869297</c:v>
                </c:pt>
                <c:pt idx="11">
                  <c:v>-15.084538759001475</c:v>
                </c:pt>
                <c:pt idx="12">
                  <c:v>-15.490177716562926</c:v>
                </c:pt>
                <c:pt idx="13">
                  <c:v>-15.906712751716555</c:v>
                </c:pt>
                <c:pt idx="14">
                  <c:v>-16.334436248561701</c:v>
                </c:pt>
                <c:pt idx="15">
                  <c:v>-16.773648429422792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F7-4D0A-B7DF-86BC6E675DD9}"/>
            </c:ext>
          </c:extLst>
        </c:ser>
        <c:ser>
          <c:idx val="6"/>
          <c:order val="6"/>
          <c:tx>
            <c:v>MCQ Final Rehab Debt (once only increasing cost + 10% hole size increase)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2023</c:v>
              </c:pt>
              <c:pt idx="1">
                <c:v>2024</c:v>
              </c:pt>
              <c:pt idx="2">
                <c:v>2025</c:v>
              </c:pt>
              <c:pt idx="3">
                <c:v>2026</c:v>
              </c:pt>
              <c:pt idx="4">
                <c:v>2027</c:v>
              </c:pt>
              <c:pt idx="5">
                <c:v>2028</c:v>
              </c:pt>
              <c:pt idx="6">
                <c:v>2029</c:v>
              </c:pt>
              <c:pt idx="7">
                <c:v>2030</c:v>
              </c:pt>
              <c:pt idx="8">
                <c:v>2031</c:v>
              </c:pt>
              <c:pt idx="9">
                <c:v>2032</c:v>
              </c:pt>
              <c:pt idx="10">
                <c:v>2033</c:v>
              </c:pt>
              <c:pt idx="11">
                <c:v>2034</c:v>
              </c:pt>
              <c:pt idx="12">
                <c:v>2035</c:v>
              </c:pt>
              <c:pt idx="13">
                <c:v>2036</c:v>
              </c:pt>
              <c:pt idx="14">
                <c:v>2037</c:v>
              </c:pt>
              <c:pt idx="15">
                <c:v>2038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Rehab!$O$46:$O$62</c15:sqref>
                  </c15:fullRef>
                </c:ext>
              </c:extLst>
              <c:f>Rehab!$O$46:$O$61</c:f>
              <c:numCache>
                <c:formatCode>#,##0.00</c:formatCode>
                <c:ptCount val="16"/>
                <c:pt idx="0">
                  <c:v>-429.5534762154827</c:v>
                </c:pt>
                <c:pt idx="1">
                  <c:v>-441.12179569563062</c:v>
                </c:pt>
                <c:pt idx="2">
                  <c:v>-453.00128963882457</c:v>
                </c:pt>
                <c:pt idx="3">
                  <c:v>-465.2003189331744</c:v>
                </c:pt>
                <c:pt idx="4">
                  <c:v>-477.72746887903452</c:v>
                </c:pt>
                <c:pt idx="5">
                  <c:v>-490.59155520648062</c:v>
                </c:pt>
                <c:pt idx="6">
                  <c:v>-503.80163025399162</c:v>
                </c:pt>
                <c:pt idx="7">
                  <c:v>-517.36698931265369</c:v>
                </c:pt>
                <c:pt idx="8">
                  <c:v>-531.29717714031437</c:v>
                </c:pt>
                <c:pt idx="9">
                  <c:v>-545.60199465023811</c:v>
                </c:pt>
                <c:pt idx="10">
                  <c:v>-560.29150577893108</c:v>
                </c:pt>
                <c:pt idx="11">
                  <c:v>-575.37604453793256</c:v>
                </c:pt>
                <c:pt idx="12">
                  <c:v>-590.86622225449548</c:v>
                </c:pt>
                <c:pt idx="13">
                  <c:v>-606.77293500621204</c:v>
                </c:pt>
                <c:pt idx="14">
                  <c:v>-623.10737125477374</c:v>
                </c:pt>
                <c:pt idx="15">
                  <c:v>-639.88101968419653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9-4AA1-9E7D-3B061D6DA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2312832"/>
        <c:axId val="662306272"/>
      </c:lineChart>
      <c:catAx>
        <c:axId val="66231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Calendar Year (MCQ Gravel Sales are 2001-2015)</a:t>
                </a:r>
              </a:p>
            </c:rich>
          </c:tx>
          <c:layout>
            <c:manualLayout>
              <c:xMode val="edge"/>
              <c:yMode val="edge"/>
              <c:x val="0.32538901063728265"/>
              <c:y val="0.92610374318330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306272"/>
        <c:crosses val="autoZero"/>
        <c:auto val="1"/>
        <c:lblAlgn val="ctr"/>
        <c:lblOffset val="100"/>
        <c:noMultiLvlLbl val="0"/>
      </c:catAx>
      <c:valAx>
        <c:axId val="662306272"/>
        <c:scaling>
          <c:orientation val="minMax"/>
          <c:max val="700"/>
          <c:min val="-700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2941"/>
                </a:srgb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Income $Millions</a:t>
                </a:r>
              </a:p>
            </c:rich>
          </c:tx>
          <c:layout>
            <c:manualLayout>
              <c:xMode val="edge"/>
              <c:yMode val="edge"/>
              <c:x val="1.8970201845935074E-2"/>
              <c:y val="0.420142204884369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312832"/>
        <c:crosses val="autoZero"/>
        <c:crossBetween val="between"/>
      </c:valAx>
      <c:spPr>
        <a:solidFill>
          <a:srgbClr val="FFEDB3">
            <a:alpha val="53000"/>
          </a:srgbClr>
        </a:solidFill>
        <a:ln>
          <a:solidFill>
            <a:srgbClr val="7030A0"/>
          </a:solidFill>
        </a:ln>
        <a:effectLst/>
      </c:spPr>
    </c:plotArea>
    <c:legend>
      <c:legendPos val="r"/>
      <c:layout>
        <c:manualLayout>
          <c:xMode val="edge"/>
          <c:yMode val="edge"/>
          <c:x val="0.12945556792350166"/>
          <c:y val="0.48529402684213391"/>
          <c:w val="0.65923305537678811"/>
          <c:h val="0.355720583141963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rgbClr val="7030A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Eden Anglesea Victoria Project  - Ongoing Employment compared with MCQ</a:t>
            </a:r>
            <a:endParaRPr lang="en-AU" sz="1400">
              <a:effectLst/>
            </a:endParaRPr>
          </a:p>
        </c:rich>
      </c:tx>
      <c:layout>
        <c:manualLayout>
          <c:xMode val="edge"/>
          <c:yMode val="edge"/>
          <c:x val="0.14963747094103713"/>
          <c:y val="1.800748981071417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44257779649903"/>
          <c:y val="0.13774425989860659"/>
          <c:w val="0.82061657637149332"/>
          <c:h val="0.71318971126025499"/>
        </c:manualLayout>
      </c:layout>
      <c:lineChart>
        <c:grouping val="standard"/>
        <c:varyColors val="0"/>
        <c:ser>
          <c:idx val="5"/>
          <c:order val="0"/>
          <c:tx>
            <c:v>Eden Anglesea Accumulated Projected Job Years - preidicted to overtake Cornwall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'Eden Anglesea'!$B$9:$B$24</c:f>
              <c:numCache>
                <c:formatCode>General</c:formatCode>
                <c:ptCount val="1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</c:numCache>
            </c:numRef>
          </c:cat>
          <c:val>
            <c:numRef>
              <c:f>'Eden Anglesea'!$J$9:$J$24</c:f>
              <c:numCache>
                <c:formatCode>General</c:formatCode>
                <c:ptCount val="16"/>
                <c:pt idx="0">
                  <c:v>700</c:v>
                </c:pt>
                <c:pt idx="1">
                  <c:v>1400</c:v>
                </c:pt>
                <c:pt idx="2">
                  <c:v>2100</c:v>
                </c:pt>
                <c:pt idx="3">
                  <c:v>2400</c:v>
                </c:pt>
                <c:pt idx="4">
                  <c:v>2700</c:v>
                </c:pt>
                <c:pt idx="5">
                  <c:v>3000</c:v>
                </c:pt>
                <c:pt idx="6">
                  <c:v>3300</c:v>
                </c:pt>
                <c:pt idx="7">
                  <c:v>3600</c:v>
                </c:pt>
                <c:pt idx="8">
                  <c:v>3900</c:v>
                </c:pt>
                <c:pt idx="9">
                  <c:v>4200</c:v>
                </c:pt>
                <c:pt idx="10">
                  <c:v>4500</c:v>
                </c:pt>
                <c:pt idx="11">
                  <c:v>4800</c:v>
                </c:pt>
                <c:pt idx="12">
                  <c:v>5100</c:v>
                </c:pt>
                <c:pt idx="13">
                  <c:v>5400</c:v>
                </c:pt>
                <c:pt idx="14">
                  <c:v>5700</c:v>
                </c:pt>
                <c:pt idx="15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3-4C51-A96D-F16A70FEC5C0}"/>
            </c:ext>
          </c:extLst>
        </c:ser>
        <c:ser>
          <c:idx val="0"/>
          <c:order val="1"/>
          <c:tx>
            <c:v>Eden Anglesea Projected Annual Jobs (Each Year)</c:v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'Eden Anglesea'!$B$9:$B$24</c:f>
              <c:numCache>
                <c:formatCode>General</c:formatCode>
                <c:ptCount val="1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</c:numCache>
            </c:numRef>
          </c:cat>
          <c:val>
            <c:numRef>
              <c:f>'Eden Anglesea'!$I$9:$I$24</c:f>
              <c:numCache>
                <c:formatCode>General</c:formatCode>
                <c:ptCount val="16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3-4C51-A96D-F16A70FEC5C0}"/>
            </c:ext>
          </c:extLst>
        </c:ser>
        <c:ser>
          <c:idx val="3"/>
          <c:order val="2"/>
          <c:tx>
            <c:v>MCQ Accumulated Estimated Job Years (2013-2020)</c:v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'Eden Anglesea'!$B$9:$B$24</c:f>
              <c:numCache>
                <c:formatCode>General</c:formatCode>
                <c:ptCount val="1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</c:numCache>
            </c:numRef>
          </c:cat>
          <c:val>
            <c:numRef>
              <c:f>'Eden Anglesea'!$N$9:$N$16</c:f>
              <c:numCache>
                <c:formatCode>General</c:formatCode>
                <c:ptCount val="8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23-4C51-A96D-F16A70FEC5C0}"/>
            </c:ext>
          </c:extLst>
        </c:ser>
        <c:ser>
          <c:idx val="1"/>
          <c:order val="3"/>
          <c:tx>
            <c:v>MCQ Estimated Annual Jobs (2013-2020)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'Eden Anglesea'!$B$9:$B$24</c:f>
              <c:numCache>
                <c:formatCode>General</c:formatCode>
                <c:ptCount val="1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</c:numCache>
            </c:numRef>
          </c:cat>
          <c:val>
            <c:numRef>
              <c:f>'Eden Anglesea'!$M$9:$M$16</c:f>
              <c:numCache>
                <c:formatCode>General</c:formatCode>
                <c:ptCount val="8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23-4C51-A96D-F16A70FEC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2312832"/>
        <c:axId val="662306272"/>
      </c:lineChart>
      <c:catAx>
        <c:axId val="66231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Calendar Year (MCQ Jobs are 2001-2020</a:t>
                </a:r>
              </a:p>
            </c:rich>
          </c:tx>
          <c:layout>
            <c:manualLayout>
              <c:xMode val="edge"/>
              <c:yMode val="edge"/>
              <c:x val="0.30053242978732503"/>
              <c:y val="0.92617957982144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306272"/>
        <c:crosses val="autoZero"/>
        <c:auto val="1"/>
        <c:lblAlgn val="ctr"/>
        <c:lblOffset val="100"/>
        <c:noMultiLvlLbl val="0"/>
      </c:catAx>
      <c:valAx>
        <c:axId val="662306272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2941"/>
                </a:srgb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Project  &amp; Full-Time</a:t>
                </a:r>
                <a:r>
                  <a:rPr lang="en-AU" baseline="0"/>
                  <a:t> </a:t>
                </a:r>
                <a:r>
                  <a:rPr lang="en-AU"/>
                  <a:t>Permanent</a:t>
                </a:r>
                <a:r>
                  <a:rPr lang="en-AU" baseline="0"/>
                  <a:t> Jobs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5199087348059605E-2"/>
              <c:y val="0.221628370222986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312832"/>
        <c:crosses val="autoZero"/>
        <c:crossBetween val="between"/>
      </c:valAx>
      <c:spPr>
        <a:solidFill>
          <a:srgbClr val="FFEDB3">
            <a:alpha val="53000"/>
          </a:srgb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48175188721063"/>
          <c:y val="0.16884202566741582"/>
          <c:w val="0.72975938870073809"/>
          <c:h val="0.27070405186993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rgbClr val="7030A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MCQ Annual Blast Activity and Counts 2001 - 2019</a:t>
            </a:r>
          </a:p>
        </c:rich>
      </c:tx>
      <c:layout>
        <c:manualLayout>
          <c:xMode val="edge"/>
          <c:yMode val="edge"/>
          <c:x val="0.23331104001367037"/>
          <c:y val="1.785937979325699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987203270228271E-2"/>
          <c:y val="0.13774425989860659"/>
          <c:w val="0.84907188020534174"/>
          <c:h val="0.71318971126025499"/>
        </c:manualLayout>
      </c:layout>
      <c:barChart>
        <c:barDir val="col"/>
        <c:grouping val="clustered"/>
        <c:varyColors val="0"/>
        <c:ser>
          <c:idx val="3"/>
          <c:order val="0"/>
          <c:tx>
            <c:v>"Annual Blast Counts"</c:v>
          </c:tx>
          <c:spPr>
            <a:solidFill>
              <a:schemeClr val="accent4"/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dLbls>
            <c:dLbl>
              <c:idx val="18"/>
              <c:tx>
                <c:rich>
                  <a:bodyPr/>
                  <a:lstStyle/>
                  <a:p>
                    <a:fld id="{365D65F7-592B-4B22-AC7B-8CE3C1250C26}" type="VALUE">
                      <a:rPr lang="en-US"/>
                      <a:pPr/>
                      <a:t>[VALUE]</a:t>
                    </a:fld>
                    <a:endParaRPr lang="en-AU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3274-4F56-B5B4-B09DA2A578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Estimates!$B$52:$B$71</c:f>
              <c:numCache>
                <c:formatCode>0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Estimates!$D$52:$D$71</c:f>
              <c:numCache>
                <c:formatCode>0</c:formatCode>
                <c:ptCount val="20"/>
                <c:pt idx="0">
                  <c:v>11.980124422679788</c:v>
                </c:pt>
                <c:pt idx="1">
                  <c:v>15</c:v>
                </c:pt>
                <c:pt idx="2">
                  <c:v>18</c:v>
                </c:pt>
                <c:pt idx="3">
                  <c:v>10</c:v>
                </c:pt>
                <c:pt idx="4">
                  <c:v>13</c:v>
                </c:pt>
                <c:pt idx="5">
                  <c:v>14</c:v>
                </c:pt>
                <c:pt idx="6">
                  <c:v>11</c:v>
                </c:pt>
                <c:pt idx="7">
                  <c:v>17</c:v>
                </c:pt>
                <c:pt idx="8">
                  <c:v>13</c:v>
                </c:pt>
                <c:pt idx="9">
                  <c:v>14</c:v>
                </c:pt>
                <c:pt idx="10">
                  <c:v>13</c:v>
                </c:pt>
                <c:pt idx="11">
                  <c:v>14</c:v>
                </c:pt>
                <c:pt idx="12">
                  <c:v>25</c:v>
                </c:pt>
                <c:pt idx="13">
                  <c:v>21</c:v>
                </c:pt>
                <c:pt idx="14">
                  <c:v>24</c:v>
                </c:pt>
                <c:pt idx="15">
                  <c:v>18</c:v>
                </c:pt>
                <c:pt idx="16">
                  <c:v>29</c:v>
                </c:pt>
                <c:pt idx="17">
                  <c:v>26</c:v>
                </c:pt>
                <c:pt idx="18" formatCode="General">
                  <c:v>22</c:v>
                </c:pt>
                <c:pt idx="19" formatCode="General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74-4F56-B5B4-B09DA2A578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662312832"/>
        <c:axId val="662306272"/>
      </c:barChart>
      <c:lineChart>
        <c:grouping val="standard"/>
        <c:varyColors val="0"/>
        <c:ser>
          <c:idx val="0"/>
          <c:order val="1"/>
          <c:tx>
            <c:v>Accmulated Blast Counts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Estimates!$E$52:$E$71</c:f>
              <c:numCache>
                <c:formatCode>0</c:formatCode>
                <c:ptCount val="20"/>
                <c:pt idx="0">
                  <c:v>442</c:v>
                </c:pt>
                <c:pt idx="1">
                  <c:v>454</c:v>
                </c:pt>
                <c:pt idx="2">
                  <c:v>468</c:v>
                </c:pt>
                <c:pt idx="3">
                  <c:v>485</c:v>
                </c:pt>
                <c:pt idx="4">
                  <c:v>499</c:v>
                </c:pt>
                <c:pt idx="5">
                  <c:v>511</c:v>
                </c:pt>
                <c:pt idx="6">
                  <c:v>522</c:v>
                </c:pt>
                <c:pt idx="7">
                  <c:v>539</c:v>
                </c:pt>
                <c:pt idx="8">
                  <c:v>552</c:v>
                </c:pt>
                <c:pt idx="9">
                  <c:v>566</c:v>
                </c:pt>
                <c:pt idx="10">
                  <c:v>579</c:v>
                </c:pt>
                <c:pt idx="11">
                  <c:v>593</c:v>
                </c:pt>
                <c:pt idx="12">
                  <c:v>618</c:v>
                </c:pt>
                <c:pt idx="13">
                  <c:v>639</c:v>
                </c:pt>
                <c:pt idx="14">
                  <c:v>663</c:v>
                </c:pt>
                <c:pt idx="15">
                  <c:v>681</c:v>
                </c:pt>
                <c:pt idx="16">
                  <c:v>710</c:v>
                </c:pt>
                <c:pt idx="17">
                  <c:v>736</c:v>
                </c:pt>
                <c:pt idx="18">
                  <c:v>758</c:v>
                </c:pt>
                <c:pt idx="19">
                  <c:v>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74-4F56-B5B4-B09DA2A57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360640"/>
        <c:axId val="606359984"/>
      </c:lineChart>
      <c:catAx>
        <c:axId val="66231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Calendar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306272"/>
        <c:crosses val="autoZero"/>
        <c:auto val="1"/>
        <c:lblAlgn val="ctr"/>
        <c:lblOffset val="100"/>
        <c:noMultiLvlLbl val="0"/>
      </c:catAx>
      <c:valAx>
        <c:axId val="662306272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Blasst per year</a:t>
                </a:r>
              </a:p>
            </c:rich>
          </c:tx>
          <c:layout>
            <c:manualLayout>
              <c:xMode val="edge"/>
              <c:yMode val="edge"/>
              <c:x val="1.8970201845935074E-2"/>
              <c:y val="0.420142204884369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312832"/>
        <c:crosses val="autoZero"/>
        <c:crossBetween val="between"/>
        <c:majorUnit val="2"/>
      </c:valAx>
      <c:valAx>
        <c:axId val="60635998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360640"/>
        <c:crosses val="max"/>
        <c:crossBetween val="between"/>
      </c:valAx>
      <c:catAx>
        <c:axId val="606360640"/>
        <c:scaling>
          <c:orientation val="minMax"/>
        </c:scaling>
        <c:delete val="1"/>
        <c:axPos val="b"/>
        <c:majorTickMark val="out"/>
        <c:minorTickMark val="none"/>
        <c:tickLblPos val="nextTo"/>
        <c:crossAx val="606359984"/>
        <c:crosses val="autoZero"/>
        <c:auto val="1"/>
        <c:lblAlgn val="ctr"/>
        <c:lblOffset val="100"/>
        <c:noMultiLvlLbl val="0"/>
      </c:catAx>
      <c:spPr>
        <a:solidFill>
          <a:srgbClr val="FFEDB3">
            <a:alpha val="34000"/>
          </a:srgb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5902022159001676E-2"/>
          <c:y val="0.15242995685755534"/>
          <c:w val="0.27679961067031211"/>
          <c:h val="0.144974537105341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rgbClr val="7030A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MCQ Estimated Mined Gravel Tonnes 2000 - 2019</a:t>
            </a:r>
          </a:p>
        </c:rich>
      </c:tx>
      <c:layout>
        <c:manualLayout>
          <c:xMode val="edge"/>
          <c:yMode val="edge"/>
          <c:x val="0.17099180174556566"/>
          <c:y val="1.078875726542098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44257779649903"/>
          <c:y val="0.13774425989860659"/>
          <c:w val="0.82061657637149332"/>
          <c:h val="0.71318971126025499"/>
        </c:manualLayout>
      </c:layout>
      <c:barChart>
        <c:barDir val="col"/>
        <c:grouping val="clustered"/>
        <c:varyColors val="0"/>
        <c:ser>
          <c:idx val="2"/>
          <c:order val="3"/>
          <c:tx>
            <c:v>MCLR Expected MCQ Closure Date</c:v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Estimates!$AD$52:$AD$71</c:f>
              <c:numCache>
                <c:formatCode>General</c:formatCode>
                <c:ptCount val="20"/>
                <c:pt idx="15" formatCode="#,##0">
                  <c:v>1000000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31-4F17-852F-567BE88D7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312832"/>
        <c:axId val="662306272"/>
      </c:barChart>
      <c:lineChart>
        <c:grouping val="standard"/>
        <c:varyColors val="0"/>
        <c:ser>
          <c:idx val="3"/>
          <c:order val="0"/>
          <c:tx>
            <c:v>MCQ Tonnes Mined</c:v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5765284539672215E-2"/>
                  <c:y val="-2.5925925925925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4CC-4DD9-BDDC-1CDB0C068F1E}"/>
                </c:ext>
              </c:extLst>
            </c:dLbl>
            <c:dLbl>
              <c:idx val="1"/>
              <c:layout>
                <c:manualLayout>
                  <c:x val="-6.0944318721841563E-2"/>
                  <c:y val="-2.59259259259259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4CC-4DD9-BDDC-1CDB0C068F1E}"/>
                </c:ext>
              </c:extLst>
            </c:dLbl>
            <c:dLbl>
              <c:idx val="2"/>
              <c:layout>
                <c:manualLayout>
                  <c:x val="-9.153976900148221E-3"/>
                  <c:y val="-7.407407407407407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CC-4DD9-BDDC-1CDB0C068F1E}"/>
                </c:ext>
              </c:extLst>
            </c:dLbl>
            <c:dLbl>
              <c:idx val="3"/>
              <c:layout>
                <c:manualLayout>
                  <c:x val="-4.1954526720554025E-2"/>
                  <c:y val="2.9629629629629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CC-4DD9-BDDC-1CDB0C068F1E}"/>
                </c:ext>
              </c:extLst>
            </c:dLbl>
            <c:dLbl>
              <c:idx val="5"/>
              <c:layout>
                <c:manualLayout>
                  <c:x val="-4.0228181993164219E-2"/>
                  <c:y val="-4.8148148148148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CC-4DD9-BDDC-1CDB0C068F1E}"/>
                </c:ext>
              </c:extLst>
            </c:dLbl>
            <c:dLbl>
              <c:idx val="6"/>
              <c:layout>
                <c:manualLayout>
                  <c:x val="-4.0228181993164219E-2"/>
                  <c:y val="4.8148148148148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CC-4DD9-BDDC-1CDB0C068F1E}"/>
                </c:ext>
              </c:extLst>
            </c:dLbl>
            <c:dLbl>
              <c:idx val="7"/>
              <c:layout>
                <c:manualLayout>
                  <c:x val="-3.8501837265774504E-2"/>
                  <c:y val="-2.5925925925925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CC-4DD9-BDDC-1CDB0C068F1E}"/>
                </c:ext>
              </c:extLst>
            </c:dLbl>
            <c:dLbl>
              <c:idx val="8"/>
              <c:layout>
                <c:manualLayout>
                  <c:x val="-4.1954526720553997E-2"/>
                  <c:y val="7.407407407407407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4CC-4DD9-BDDC-1CDB0C068F1E}"/>
                </c:ext>
              </c:extLst>
            </c:dLbl>
            <c:dLbl>
              <c:idx val="9"/>
              <c:layout>
                <c:manualLayout>
                  <c:x val="-3.8501837265774441E-2"/>
                  <c:y val="-3.3333333333333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4CC-4DD9-BDDC-1CDB0C068F1E}"/>
                </c:ext>
              </c:extLst>
            </c:dLbl>
            <c:dLbl>
              <c:idx val="10"/>
              <c:layout>
                <c:manualLayout>
                  <c:x val="-4.0228181993164282E-2"/>
                  <c:y val="1.48148148148147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4CC-4DD9-BDDC-1CDB0C068F1E}"/>
                </c:ext>
              </c:extLst>
            </c:dLbl>
            <c:dLbl>
              <c:idx val="11"/>
              <c:layout>
                <c:manualLayout>
                  <c:x val="-1.4333011082317618E-2"/>
                  <c:y val="3.703703703703635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4CC-4DD9-BDDC-1CDB0C068F1E}"/>
                </c:ext>
              </c:extLst>
            </c:dLbl>
            <c:dLbl>
              <c:idx val="12"/>
              <c:layout>
                <c:manualLayout>
                  <c:x val="-5.2312595084892659E-2"/>
                  <c:y val="4.0740740740740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CC-4DD9-BDDC-1CDB0C068F1E}"/>
                </c:ext>
              </c:extLst>
            </c:dLbl>
            <c:dLbl>
              <c:idx val="13"/>
              <c:layout>
                <c:manualLayout>
                  <c:x val="-4.1954526720553997E-2"/>
                  <c:y val="2.59259259259259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CC-4DD9-BDDC-1CDB0C068F1E}"/>
                </c:ext>
              </c:extLst>
            </c:dLbl>
            <c:dLbl>
              <c:idx val="14"/>
              <c:layout>
                <c:manualLayout>
                  <c:x val="-3.3322803083605107E-2"/>
                  <c:y val="-2.9629629629629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CC-4DD9-BDDC-1CDB0C068F1E}"/>
                </c:ext>
              </c:extLst>
            </c:dLbl>
            <c:dLbl>
              <c:idx val="15"/>
              <c:layout>
                <c:manualLayout>
                  <c:x val="-4.0228181993164219E-2"/>
                  <c:y val="2.59259259259259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CC-4DD9-BDDC-1CDB0C068F1E}"/>
                </c:ext>
              </c:extLst>
            </c:dLbl>
            <c:dLbl>
              <c:idx val="16"/>
              <c:layout>
                <c:manualLayout>
                  <c:x val="-4.6102103911271862E-2"/>
                  <c:y val="-1.4814814814814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CC-4DD9-BDDC-1CDB0C068F1E}"/>
                </c:ext>
              </c:extLst>
            </c:dLbl>
            <c:dLbl>
              <c:idx val="17"/>
              <c:layout>
                <c:manualLayout>
                  <c:x val="-1.433301108231768E-2"/>
                  <c:y val="-3.7037037037037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CC-4DD9-BDDC-1CDB0C068F1E}"/>
                </c:ext>
              </c:extLst>
            </c:dLbl>
            <c:dLbl>
              <c:idx val="18"/>
              <c:layout>
                <c:manualLayout>
                  <c:x val="-1.2606666354927775E-2"/>
                  <c:y val="-2.9629629629629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CC-4DD9-BDDC-1CDB0C068F1E}"/>
                </c:ext>
              </c:extLst>
            </c:dLbl>
            <c:dLbl>
              <c:idx val="19"/>
              <c:layout>
                <c:manualLayout>
                  <c:x val="-4.0228181993164219E-2"/>
                  <c:y val="2.9629629629629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CC-4DD9-BDDC-1CDB0C068F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00206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Estimates!$B$52:$B$71</c:f>
              <c:numCache>
                <c:formatCode>0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Estimates!$G$52:$G$71</c:f>
              <c:numCache>
                <c:formatCode>#,##0</c:formatCode>
                <c:ptCount val="20"/>
                <c:pt idx="0">
                  <c:v>447118.55757843074</c:v>
                </c:pt>
                <c:pt idx="1">
                  <c:v>559825.43478260865</c:v>
                </c:pt>
                <c:pt idx="2">
                  <c:v>671790.52173913037</c:v>
                </c:pt>
                <c:pt idx="3">
                  <c:v>373216.95652173914</c:v>
                </c:pt>
                <c:pt idx="4">
                  <c:v>485182.04347826086</c:v>
                </c:pt>
                <c:pt idx="5">
                  <c:v>522503.73913043475</c:v>
                </c:pt>
                <c:pt idx="6">
                  <c:v>410538.65217391303</c:v>
                </c:pt>
                <c:pt idx="7">
                  <c:v>634468.82608695654</c:v>
                </c:pt>
                <c:pt idx="8">
                  <c:v>485182.04347826086</c:v>
                </c:pt>
                <c:pt idx="9">
                  <c:v>522503.73913043475</c:v>
                </c:pt>
                <c:pt idx="10">
                  <c:v>485182.04347826086</c:v>
                </c:pt>
                <c:pt idx="11">
                  <c:v>522503.73913043475</c:v>
                </c:pt>
                <c:pt idx="12">
                  <c:v>933042.39130434778</c:v>
                </c:pt>
                <c:pt idx="13">
                  <c:v>783755.6086956521</c:v>
                </c:pt>
                <c:pt idx="14">
                  <c:v>895720.69565217383</c:v>
                </c:pt>
                <c:pt idx="15">
                  <c:v>671790.52173913037</c:v>
                </c:pt>
                <c:pt idx="16">
                  <c:v>1082329.1739130435</c:v>
                </c:pt>
                <c:pt idx="17">
                  <c:v>970364.08695652173</c:v>
                </c:pt>
                <c:pt idx="18">
                  <c:v>821077.30434782605</c:v>
                </c:pt>
                <c:pt idx="19">
                  <c:v>373216.95652173914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1-4F17-852F-567BE88D7250}"/>
            </c:ext>
          </c:extLst>
        </c:ser>
        <c:ser>
          <c:idx val="1"/>
          <c:order val="1"/>
          <c:tx>
            <c:v>BCC 2002 Council Motion -  Expected Max Annual Tonnage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Estimates!$Z$52:$Z$72</c:f>
              <c:numCache>
                <c:formatCode>#,##0</c:formatCode>
                <c:ptCount val="21"/>
                <c:pt idx="0">
                  <c:v>400000</c:v>
                </c:pt>
                <c:pt idx="1">
                  <c:v>400000</c:v>
                </c:pt>
                <c:pt idx="2">
                  <c:v>400000</c:v>
                </c:pt>
                <c:pt idx="3">
                  <c:v>400000</c:v>
                </c:pt>
                <c:pt idx="4">
                  <c:v>400000</c:v>
                </c:pt>
                <c:pt idx="5">
                  <c:v>400000</c:v>
                </c:pt>
                <c:pt idx="6">
                  <c:v>400000</c:v>
                </c:pt>
                <c:pt idx="7">
                  <c:v>400000</c:v>
                </c:pt>
                <c:pt idx="8">
                  <c:v>400000</c:v>
                </c:pt>
                <c:pt idx="9">
                  <c:v>400000</c:v>
                </c:pt>
                <c:pt idx="10">
                  <c:v>400000</c:v>
                </c:pt>
                <c:pt idx="11">
                  <c:v>400000</c:v>
                </c:pt>
                <c:pt idx="12">
                  <c:v>400000</c:v>
                </c:pt>
                <c:pt idx="13">
                  <c:v>400000</c:v>
                </c:pt>
                <c:pt idx="14">
                  <c:v>400000</c:v>
                </c:pt>
                <c:pt idx="15">
                  <c:v>400000</c:v>
                </c:pt>
                <c:pt idx="16">
                  <c:v>400000</c:v>
                </c:pt>
                <c:pt idx="17">
                  <c:v>400000</c:v>
                </c:pt>
                <c:pt idx="18">
                  <c:v>400000</c:v>
                </c:pt>
                <c:pt idx="19">
                  <c:v>400000</c:v>
                </c:pt>
                <c:pt idx="20">
                  <c:v>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31-4F17-852F-567BE88D7250}"/>
            </c:ext>
          </c:extLst>
        </c:ser>
        <c:ser>
          <c:idx val="0"/>
          <c:order val="2"/>
          <c:tx>
            <c:v>CY Urban Truck Movements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Estimates!$V$52:$V$71</c:f>
              <c:numCache>
                <c:formatCode>#,##0</c:formatCode>
                <c:ptCount val="20"/>
                <c:pt idx="0">
                  <c:v>89423.711515686155</c:v>
                </c:pt>
                <c:pt idx="1">
                  <c:v>111965.08695652173</c:v>
                </c:pt>
                <c:pt idx="2">
                  <c:v>134358.10434782607</c:v>
                </c:pt>
                <c:pt idx="3">
                  <c:v>74643.391304347824</c:v>
                </c:pt>
                <c:pt idx="4">
                  <c:v>97036.408695652179</c:v>
                </c:pt>
                <c:pt idx="5">
                  <c:v>104500.74782608695</c:v>
                </c:pt>
                <c:pt idx="6">
                  <c:v>82107.730434782599</c:v>
                </c:pt>
                <c:pt idx="7">
                  <c:v>126893.76521739131</c:v>
                </c:pt>
                <c:pt idx="8">
                  <c:v>97036.408695652179</c:v>
                </c:pt>
                <c:pt idx="9">
                  <c:v>104500.74782608695</c:v>
                </c:pt>
                <c:pt idx="10">
                  <c:v>97036.408695652179</c:v>
                </c:pt>
                <c:pt idx="11">
                  <c:v>104500.74782608695</c:v>
                </c:pt>
                <c:pt idx="12">
                  <c:v>186608.47826086957</c:v>
                </c:pt>
                <c:pt idx="13">
                  <c:v>156751.12173913041</c:v>
                </c:pt>
                <c:pt idx="14">
                  <c:v>179144.13913043478</c:v>
                </c:pt>
                <c:pt idx="15">
                  <c:v>134358.10434782607</c:v>
                </c:pt>
                <c:pt idx="16">
                  <c:v>216465.8347826087</c:v>
                </c:pt>
                <c:pt idx="17">
                  <c:v>194072.81739130436</c:v>
                </c:pt>
                <c:pt idx="18">
                  <c:v>164215.4608695652</c:v>
                </c:pt>
                <c:pt idx="19">
                  <c:v>74643.391304347824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31-4F17-852F-567BE88D725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62312832"/>
        <c:axId val="662306272"/>
      </c:lineChart>
      <c:catAx>
        <c:axId val="66231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4006103326357682"/>
              <c:y val="0.918960830427778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306272"/>
        <c:crosses val="autoZero"/>
        <c:auto val="1"/>
        <c:lblAlgn val="ctr"/>
        <c:lblOffset val="100"/>
        <c:noMultiLvlLbl val="0"/>
      </c:catAx>
      <c:valAx>
        <c:axId val="66230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Tonnes Mined and 10T Tuck Movements</a:t>
                </a:r>
              </a:p>
            </c:rich>
          </c:tx>
          <c:layout>
            <c:manualLayout>
              <c:xMode val="edge"/>
              <c:yMode val="edge"/>
              <c:x val="8.2296348413883405E-3"/>
              <c:y val="0.175032662583843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312832"/>
        <c:crosses val="autoZero"/>
        <c:crossBetween val="between"/>
        <c:minorUnit val="50000"/>
      </c:valAx>
      <c:spPr>
        <a:solidFill>
          <a:srgbClr val="FFEDB3">
            <a:alpha val="50000"/>
          </a:srgbClr>
        </a:solidFill>
        <a:ln>
          <a:noFill/>
        </a:ln>
        <a:effectLst/>
      </c:spPr>
    </c:plotArea>
    <c:legend>
      <c:legendPos val="r"/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1168349331700692"/>
          <c:y val="0.14004520268299797"/>
          <c:w val="0.5373207184203973"/>
          <c:h val="0.262041411490230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rgbClr val="7030A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MCQ Total Max Extracted Gravel Tonnage Since December 2002 Council Motion</a:t>
            </a:r>
            <a:endParaRPr lang="en-AU" sz="1400">
              <a:effectLst/>
            </a:endParaRPr>
          </a:p>
        </c:rich>
      </c:tx>
      <c:layout>
        <c:manualLayout>
          <c:xMode val="edge"/>
          <c:yMode val="edge"/>
          <c:x val="0.14963747094103713"/>
          <c:y val="1.800748981071417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44257779649903"/>
          <c:y val="0.11608808726763439"/>
          <c:w val="0.82061657637149332"/>
          <c:h val="0.73484580863041959"/>
        </c:manualLayout>
      </c:layout>
      <c:barChart>
        <c:barDir val="col"/>
        <c:grouping val="clustered"/>
        <c:varyColors val="0"/>
        <c:ser>
          <c:idx val="2"/>
          <c:order val="3"/>
          <c:tx>
            <c:v>Local Residents Expected MCQ Closure Date</c:v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Estimates!$AE$55:$AE$71</c:f>
              <c:numCache>
                <c:formatCode>General</c:formatCode>
                <c:ptCount val="17"/>
                <c:pt idx="12">
                  <c:v>12000000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4-41E4-8FD1-2F5EBE274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312832"/>
        <c:axId val="662306272"/>
      </c:barChart>
      <c:lineChart>
        <c:grouping val="standard"/>
        <c:varyColors val="0"/>
        <c:ser>
          <c:idx val="5"/>
          <c:order val="0"/>
          <c:tx>
            <c:v>Estimated Actual Accumulated Tonnage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4464104527003327E-2"/>
                  <c:y val="-3.6093418862420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D9-4E95-8F60-EBAC2179FDC5}"/>
                </c:ext>
              </c:extLst>
            </c:dLbl>
            <c:dLbl>
              <c:idx val="1"/>
              <c:layout>
                <c:manualLayout>
                  <c:x val="5.1304735992695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D9-4E95-8F60-EBAC2179FDC5}"/>
                </c:ext>
              </c:extLst>
            </c:dLbl>
            <c:dLbl>
              <c:idx val="2"/>
              <c:layout>
                <c:manualLayout>
                  <c:x val="5.13047359926961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D9-4E95-8F60-EBAC2179FDC5}"/>
                </c:ext>
              </c:extLst>
            </c:dLbl>
            <c:dLbl>
              <c:idx val="3"/>
              <c:layout>
                <c:manualLayout>
                  <c:x val="-9.4058682653276285E-2"/>
                  <c:y val="-1.8046709431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D9-4E95-8F60-EBAC2179FDC5}"/>
                </c:ext>
              </c:extLst>
            </c:dLbl>
            <c:dLbl>
              <c:idx val="4"/>
              <c:layout>
                <c:manualLayout>
                  <c:x val="-9.0638366920429855E-2"/>
                  <c:y val="-1.4437367544968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D9-4E95-8F60-EBAC2179FDC5}"/>
                </c:ext>
              </c:extLst>
            </c:dLbl>
            <c:dLbl>
              <c:idx val="5"/>
              <c:layout>
                <c:manualLayout>
                  <c:x val="-9.4058682653276299E-2"/>
                  <c:y val="-1.4437367544968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D9-4E95-8F60-EBAC2179FDC5}"/>
                </c:ext>
              </c:extLst>
            </c:dLbl>
            <c:dLbl>
              <c:idx val="6"/>
              <c:layout>
                <c:manualLayout>
                  <c:x val="-9.5768840519699472E-2"/>
                  <c:y val="-1.8046709431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D9-4E95-8F60-EBAC2179FDC5}"/>
                </c:ext>
              </c:extLst>
            </c:dLbl>
            <c:dLbl>
              <c:idx val="7"/>
              <c:layout>
                <c:manualLayout>
                  <c:x val="-9.5768840519699472E-2"/>
                  <c:y val="-2.5265393203694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D9-4E95-8F60-EBAC2179FDC5}"/>
                </c:ext>
              </c:extLst>
            </c:dLbl>
            <c:dLbl>
              <c:idx val="8"/>
              <c:layout>
                <c:manualLayout>
                  <c:x val="3.4203157328464096E-3"/>
                  <c:y val="-3.60934188624206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D9-4E95-8F60-EBAC2179FDC5}"/>
                </c:ext>
              </c:extLst>
            </c:dLbl>
            <c:dLbl>
              <c:idx val="11"/>
              <c:layout>
                <c:manualLayout>
                  <c:x val="-1.208428660774229E-2"/>
                  <c:y val="1.0828025658726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64-41E4-8FD1-2F5EBE2749B8}"/>
                </c:ext>
              </c:extLst>
            </c:dLbl>
            <c:dLbl>
              <c:idx val="15"/>
              <c:layout>
                <c:manualLayout>
                  <c:x val="-9.1469485952934415E-2"/>
                  <c:y val="-1.9824381360221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6F-4B07-B106-9C2EE672B117}"/>
                </c:ext>
              </c:extLst>
            </c:dLbl>
            <c:dLbl>
              <c:idx val="16"/>
              <c:layout>
                <c:manualLayout>
                  <c:x val="-4.1021327474517217E-3"/>
                  <c:y val="-5.38701381525341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F-4B07-B106-9C2EE672B1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Estimates!$AC$55:$AC$84</c:f>
              <c:numCache>
                <c:formatCode>0</c:formatCode>
                <c:ptCount val="3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  <c:pt idx="23">
                  <c:v>2026</c:v>
                </c:pt>
                <c:pt idx="24">
                  <c:v>2027</c:v>
                </c:pt>
                <c:pt idx="25">
                  <c:v>2028</c:v>
                </c:pt>
                <c:pt idx="26">
                  <c:v>2029</c:v>
                </c:pt>
                <c:pt idx="27">
                  <c:v>2030</c:v>
                </c:pt>
                <c:pt idx="28">
                  <c:v>2031</c:v>
                </c:pt>
                <c:pt idx="29">
                  <c:v>2032</c:v>
                </c:pt>
              </c:numCache>
            </c:numRef>
          </c:cat>
          <c:val>
            <c:numRef>
              <c:f>Estimates!$Y$55:$Y$71</c:f>
              <c:numCache>
                <c:formatCode>#,##0</c:formatCode>
                <c:ptCount val="17"/>
                <c:pt idx="0">
                  <c:v>373216.95652173914</c:v>
                </c:pt>
                <c:pt idx="1">
                  <c:v>858399</c:v>
                </c:pt>
                <c:pt idx="2">
                  <c:v>1380902.7391304348</c:v>
                </c:pt>
                <c:pt idx="3">
                  <c:v>1791441.3913043479</c:v>
                </c:pt>
                <c:pt idx="4">
                  <c:v>2425910.2173913047</c:v>
                </c:pt>
                <c:pt idx="5">
                  <c:v>2911092.2608695654</c:v>
                </c:pt>
                <c:pt idx="6">
                  <c:v>3433596</c:v>
                </c:pt>
                <c:pt idx="7">
                  <c:v>3918778.0434782607</c:v>
                </c:pt>
                <c:pt idx="8">
                  <c:v>4441281.7826086953</c:v>
                </c:pt>
                <c:pt idx="9">
                  <c:v>5374324.173913043</c:v>
                </c:pt>
                <c:pt idx="10">
                  <c:v>6158079.7826086953</c:v>
                </c:pt>
                <c:pt idx="11">
                  <c:v>7053800.4782608692</c:v>
                </c:pt>
                <c:pt idx="12">
                  <c:v>7725591</c:v>
                </c:pt>
                <c:pt idx="13">
                  <c:v>8807920.173913043</c:v>
                </c:pt>
                <c:pt idx="14">
                  <c:v>9778284.2608695645</c:v>
                </c:pt>
                <c:pt idx="15">
                  <c:v>10599361.565217391</c:v>
                </c:pt>
                <c:pt idx="16">
                  <c:v>10972578.521739129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0-41ED-A4AD-1FC90303BBAD}"/>
            </c:ext>
          </c:extLst>
        </c:ser>
        <c:ser>
          <c:idx val="0"/>
          <c:order val="1"/>
          <c:tx>
            <c:v>2002 Defined 400,000 tpa Accumulated Tonnage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Estimates!$AC$55:$AC$84</c:f>
              <c:numCache>
                <c:formatCode>0</c:formatCode>
                <c:ptCount val="3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  <c:pt idx="23">
                  <c:v>2026</c:v>
                </c:pt>
                <c:pt idx="24">
                  <c:v>2027</c:v>
                </c:pt>
                <c:pt idx="25">
                  <c:v>2028</c:v>
                </c:pt>
                <c:pt idx="26">
                  <c:v>2029</c:v>
                </c:pt>
                <c:pt idx="27">
                  <c:v>2030</c:v>
                </c:pt>
                <c:pt idx="28">
                  <c:v>2031</c:v>
                </c:pt>
                <c:pt idx="29">
                  <c:v>2032</c:v>
                </c:pt>
              </c:numCache>
            </c:numRef>
          </c:cat>
          <c:val>
            <c:numRef>
              <c:f>Estimates!$AA$55:$AA$84</c:f>
              <c:numCache>
                <c:formatCode>#,##0</c:formatCode>
                <c:ptCount val="30"/>
                <c:pt idx="0">
                  <c:v>400000</c:v>
                </c:pt>
                <c:pt idx="1">
                  <c:v>800000</c:v>
                </c:pt>
                <c:pt idx="2">
                  <c:v>1200000</c:v>
                </c:pt>
                <c:pt idx="3">
                  <c:v>1600000</c:v>
                </c:pt>
                <c:pt idx="4">
                  <c:v>2000000</c:v>
                </c:pt>
                <c:pt idx="5">
                  <c:v>2400000</c:v>
                </c:pt>
                <c:pt idx="6">
                  <c:v>2800000</c:v>
                </c:pt>
                <c:pt idx="7">
                  <c:v>3200000</c:v>
                </c:pt>
                <c:pt idx="8">
                  <c:v>3600000</c:v>
                </c:pt>
                <c:pt idx="9">
                  <c:v>4000000</c:v>
                </c:pt>
                <c:pt idx="10">
                  <c:v>4400000</c:v>
                </c:pt>
                <c:pt idx="11">
                  <c:v>4800000</c:v>
                </c:pt>
                <c:pt idx="12">
                  <c:v>5200000</c:v>
                </c:pt>
                <c:pt idx="13">
                  <c:v>5600000</c:v>
                </c:pt>
                <c:pt idx="14">
                  <c:v>6000000</c:v>
                </c:pt>
                <c:pt idx="15">
                  <c:v>6400000</c:v>
                </c:pt>
                <c:pt idx="16">
                  <c:v>6800000</c:v>
                </c:pt>
                <c:pt idx="17">
                  <c:v>7200000</c:v>
                </c:pt>
                <c:pt idx="18">
                  <c:v>7600000</c:v>
                </c:pt>
                <c:pt idx="19">
                  <c:v>8000000</c:v>
                </c:pt>
                <c:pt idx="20">
                  <c:v>8400000</c:v>
                </c:pt>
                <c:pt idx="21">
                  <c:v>8800000</c:v>
                </c:pt>
                <c:pt idx="22">
                  <c:v>9200000</c:v>
                </c:pt>
                <c:pt idx="23">
                  <c:v>9600000</c:v>
                </c:pt>
                <c:pt idx="24">
                  <c:v>10000000</c:v>
                </c:pt>
                <c:pt idx="25">
                  <c:v>10400000</c:v>
                </c:pt>
                <c:pt idx="26">
                  <c:v>10800000</c:v>
                </c:pt>
                <c:pt idx="27">
                  <c:v>11200000</c:v>
                </c:pt>
                <c:pt idx="28">
                  <c:v>11600000</c:v>
                </c:pt>
                <c:pt idx="29">
                  <c:v>12000000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0-41ED-A4AD-1FC90303BBAD}"/>
            </c:ext>
          </c:extLst>
        </c:ser>
        <c:ser>
          <c:idx val="1"/>
          <c:order val="2"/>
          <c:tx>
            <c:v>2002 Defined Annual Maximum = 400,000 tonnes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Estimates!$AC$55:$AC$84</c:f>
              <c:numCache>
                <c:formatCode>0</c:formatCode>
                <c:ptCount val="3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  <c:pt idx="23">
                  <c:v>2026</c:v>
                </c:pt>
                <c:pt idx="24">
                  <c:v>2027</c:v>
                </c:pt>
                <c:pt idx="25">
                  <c:v>2028</c:v>
                </c:pt>
                <c:pt idx="26">
                  <c:v>2029</c:v>
                </c:pt>
                <c:pt idx="27">
                  <c:v>2030</c:v>
                </c:pt>
                <c:pt idx="28">
                  <c:v>2031</c:v>
                </c:pt>
                <c:pt idx="29">
                  <c:v>2032</c:v>
                </c:pt>
              </c:numCache>
            </c:numRef>
          </c:cat>
          <c:val>
            <c:numRef>
              <c:f>Estimates!$Z$55:$Z$84</c:f>
              <c:numCache>
                <c:formatCode>#,##0</c:formatCode>
                <c:ptCount val="30"/>
                <c:pt idx="0">
                  <c:v>400000</c:v>
                </c:pt>
                <c:pt idx="1">
                  <c:v>400000</c:v>
                </c:pt>
                <c:pt idx="2">
                  <c:v>400000</c:v>
                </c:pt>
                <c:pt idx="3">
                  <c:v>400000</c:v>
                </c:pt>
                <c:pt idx="4">
                  <c:v>400000</c:v>
                </c:pt>
                <c:pt idx="5">
                  <c:v>400000</c:v>
                </c:pt>
                <c:pt idx="6">
                  <c:v>400000</c:v>
                </c:pt>
                <c:pt idx="7">
                  <c:v>400000</c:v>
                </c:pt>
                <c:pt idx="8">
                  <c:v>400000</c:v>
                </c:pt>
                <c:pt idx="9">
                  <c:v>400000</c:v>
                </c:pt>
                <c:pt idx="10">
                  <c:v>400000</c:v>
                </c:pt>
                <c:pt idx="11">
                  <c:v>400000</c:v>
                </c:pt>
                <c:pt idx="12">
                  <c:v>400000</c:v>
                </c:pt>
                <c:pt idx="13">
                  <c:v>400000</c:v>
                </c:pt>
                <c:pt idx="14">
                  <c:v>400000</c:v>
                </c:pt>
                <c:pt idx="15">
                  <c:v>400000</c:v>
                </c:pt>
                <c:pt idx="16">
                  <c:v>400000</c:v>
                </c:pt>
                <c:pt idx="17">
                  <c:v>400000</c:v>
                </c:pt>
                <c:pt idx="18">
                  <c:v>400000</c:v>
                </c:pt>
                <c:pt idx="19">
                  <c:v>400000</c:v>
                </c:pt>
                <c:pt idx="20">
                  <c:v>400000</c:v>
                </c:pt>
                <c:pt idx="21">
                  <c:v>400000</c:v>
                </c:pt>
                <c:pt idx="22">
                  <c:v>400000</c:v>
                </c:pt>
                <c:pt idx="23">
                  <c:v>400000</c:v>
                </c:pt>
                <c:pt idx="24">
                  <c:v>400000</c:v>
                </c:pt>
                <c:pt idx="25">
                  <c:v>400000</c:v>
                </c:pt>
                <c:pt idx="26">
                  <c:v>400000</c:v>
                </c:pt>
                <c:pt idx="27">
                  <c:v>400000</c:v>
                </c:pt>
                <c:pt idx="28">
                  <c:v>400000</c:v>
                </c:pt>
                <c:pt idx="29">
                  <c:v>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F-4B07-B106-9C2EE672B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312832"/>
        <c:axId val="662306272"/>
      </c:lineChart>
      <c:catAx>
        <c:axId val="66231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Calendar Year </a:t>
                </a:r>
              </a:p>
            </c:rich>
          </c:tx>
          <c:layout>
            <c:manualLayout>
              <c:xMode val="edge"/>
              <c:yMode val="edge"/>
              <c:x val="0.41826551734376516"/>
              <c:y val="0.92617957982144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306272"/>
        <c:crosses val="autoZero"/>
        <c:auto val="1"/>
        <c:lblAlgn val="ctr"/>
        <c:lblOffset val="100"/>
        <c:noMultiLvlLbl val="0"/>
      </c:catAx>
      <c:valAx>
        <c:axId val="662306272"/>
        <c:scaling>
          <c:orientation val="minMax"/>
          <c:max val="12000000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2941"/>
                </a:srgb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Extracted Gravel Tonnage Amounts</a:t>
                </a:r>
              </a:p>
            </c:rich>
          </c:tx>
          <c:layout>
            <c:manualLayout>
              <c:xMode val="edge"/>
              <c:yMode val="edge"/>
              <c:x val="4.8411908609082305E-3"/>
              <c:y val="0.221628370222986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312832"/>
        <c:crosses val="autoZero"/>
        <c:crossBetween val="between"/>
      </c:valAx>
      <c:spPr>
        <a:solidFill>
          <a:srgbClr val="FFEDB3">
            <a:alpha val="53000"/>
          </a:srgb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8938574171081139"/>
          <c:y val="0.49729199888479869"/>
          <c:w val="0.49131365438749997"/>
          <c:h val="0.31055687029702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rgbClr val="7030A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Eden Anglesea &amp; MCQ Jobs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20032621717788882"/>
          <c:y val="8.3641245499015138E-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99455062985062"/>
          <c:y val="0.16667501940112411"/>
          <c:w val="0.84109751059839966"/>
          <c:h val="0.78035725404614065"/>
        </c:manualLayout>
      </c:layout>
      <c:lineChart>
        <c:grouping val="standard"/>
        <c:varyColors val="0"/>
        <c:ser>
          <c:idx val="5"/>
          <c:order val="0"/>
          <c:tx>
            <c:v>Eden Anglesea Accumulated Projected Jobs (2025-2040)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'Eden Anglesea'!$B$9:$B$24</c:f>
              <c:numCache>
                <c:formatCode>General</c:formatCode>
                <c:ptCount val="1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</c:numCache>
            </c:numRef>
          </c:cat>
          <c:val>
            <c:numRef>
              <c:f>'Eden Anglesea'!$J$9:$J$24</c:f>
              <c:numCache>
                <c:formatCode>General</c:formatCode>
                <c:ptCount val="16"/>
                <c:pt idx="0">
                  <c:v>700</c:v>
                </c:pt>
                <c:pt idx="1">
                  <c:v>1400</c:v>
                </c:pt>
                <c:pt idx="2">
                  <c:v>2100</c:v>
                </c:pt>
                <c:pt idx="3">
                  <c:v>2400</c:v>
                </c:pt>
                <c:pt idx="4">
                  <c:v>2700</c:v>
                </c:pt>
                <c:pt idx="5">
                  <c:v>3000</c:v>
                </c:pt>
                <c:pt idx="6">
                  <c:v>3300</c:v>
                </c:pt>
                <c:pt idx="7">
                  <c:v>3600</c:v>
                </c:pt>
                <c:pt idx="8">
                  <c:v>3900</c:v>
                </c:pt>
                <c:pt idx="9">
                  <c:v>4200</c:v>
                </c:pt>
                <c:pt idx="10">
                  <c:v>4500</c:v>
                </c:pt>
                <c:pt idx="11">
                  <c:v>4800</c:v>
                </c:pt>
                <c:pt idx="12">
                  <c:v>5100</c:v>
                </c:pt>
                <c:pt idx="13">
                  <c:v>5400</c:v>
                </c:pt>
                <c:pt idx="14">
                  <c:v>5700</c:v>
                </c:pt>
                <c:pt idx="15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3-4F46-9073-9B973F80D211}"/>
            </c:ext>
          </c:extLst>
        </c:ser>
        <c:ser>
          <c:idx val="0"/>
          <c:order val="1"/>
          <c:tx>
            <c:v>Eden Anglesea Projected Annual Jobs (2025-2040)</c:v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'Eden Anglesea'!$B$9:$B$24</c:f>
              <c:numCache>
                <c:formatCode>General</c:formatCode>
                <c:ptCount val="1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</c:numCache>
            </c:numRef>
          </c:cat>
          <c:val>
            <c:numRef>
              <c:f>'Eden Anglesea'!$I$9:$I$24</c:f>
              <c:numCache>
                <c:formatCode>General</c:formatCode>
                <c:ptCount val="16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3-4F46-9073-9B973F80D211}"/>
            </c:ext>
          </c:extLst>
        </c:ser>
        <c:ser>
          <c:idx val="3"/>
          <c:order val="2"/>
          <c:tx>
            <c:v>MCQ Accumulated Estimated Jobs (2013-2020)</c:v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'Eden Anglesea'!$B$9:$B$24</c:f>
              <c:numCache>
                <c:formatCode>General</c:formatCode>
                <c:ptCount val="1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</c:numCache>
            </c:numRef>
          </c:cat>
          <c:val>
            <c:numRef>
              <c:f>'Eden Anglesea'!$N$9:$N$16</c:f>
              <c:numCache>
                <c:formatCode>General</c:formatCode>
                <c:ptCount val="8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73-4F46-9073-9B973F80D211}"/>
            </c:ext>
          </c:extLst>
        </c:ser>
        <c:ser>
          <c:idx val="1"/>
          <c:order val="3"/>
          <c:tx>
            <c:v>MCQ Estimated Annual Jobs (2013-2020)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'Eden Anglesea'!$B$9:$B$24</c:f>
              <c:numCache>
                <c:formatCode>General</c:formatCode>
                <c:ptCount val="1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</c:numCache>
            </c:numRef>
          </c:cat>
          <c:val>
            <c:numRef>
              <c:f>'Eden Anglesea'!$M$9:$M$16</c:f>
              <c:numCache>
                <c:formatCode>General</c:formatCode>
                <c:ptCount val="8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73-4F46-9073-9B973F80D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2312832"/>
        <c:axId val="662306272"/>
      </c:lineChart>
      <c:catAx>
        <c:axId val="662312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2306272"/>
        <c:crosses val="autoZero"/>
        <c:auto val="1"/>
        <c:lblAlgn val="ctr"/>
        <c:lblOffset val="100"/>
        <c:noMultiLvlLbl val="0"/>
      </c:catAx>
      <c:valAx>
        <c:axId val="662306272"/>
        <c:scaling>
          <c:orientation val="minMax"/>
          <c:max val="6000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2941"/>
                </a:srgb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Project  &amp; Full-Time</a:t>
                </a:r>
                <a:r>
                  <a:rPr lang="en-AU" baseline="0"/>
                  <a:t> </a:t>
                </a:r>
                <a:r>
                  <a:rPr lang="en-AU"/>
                  <a:t>Permanent</a:t>
                </a:r>
                <a:r>
                  <a:rPr lang="en-AU" baseline="0"/>
                  <a:t> Jobs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9.0319175327750301E-2"/>
              <c:y val="0.179999311647309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312832"/>
        <c:crosses val="autoZero"/>
        <c:crossBetween val="between"/>
      </c:valAx>
      <c:spPr>
        <a:solidFill>
          <a:srgbClr val="FFEDB3">
            <a:alpha val="53000"/>
          </a:srgb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522375466369383"/>
          <c:y val="0.16190383057345789"/>
          <c:w val="0.74090686251484394"/>
          <c:h val="0.58913265922116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rgbClr val="7030A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image" Target="../media/image4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image" Target="../media/image3.png"/><Relationship Id="rId5" Type="http://schemas.openxmlformats.org/officeDocument/2006/relationships/image" Target="../media/image1.png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image" Target="../media/image5.png"/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448235</xdr:colOff>
      <xdr:row>1</xdr:row>
      <xdr:rowOff>44824</xdr:rowOff>
    </xdr:from>
    <xdr:to>
      <xdr:col>12</xdr:col>
      <xdr:colOff>380999</xdr:colOff>
      <xdr:row>19</xdr:row>
      <xdr:rowOff>134471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6DEF87C-AF48-40F0-8696-543FEE654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963708</xdr:colOff>
      <xdr:row>1</xdr:row>
      <xdr:rowOff>57048</xdr:rowOff>
    </xdr:from>
    <xdr:to>
      <xdr:col>24</xdr:col>
      <xdr:colOff>598714</xdr:colOff>
      <xdr:row>19</xdr:row>
      <xdr:rowOff>146695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E42782C-06A6-427B-8E11-E6EB9574B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404211</xdr:colOff>
      <xdr:row>46</xdr:row>
      <xdr:rowOff>149679</xdr:rowOff>
    </xdr:from>
    <xdr:to>
      <xdr:col>12</xdr:col>
      <xdr:colOff>381000</xdr:colOff>
      <xdr:row>64</xdr:row>
      <xdr:rowOff>136072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F01D0B5-5407-495F-A306-DBBBCCE0A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401472</xdr:colOff>
      <xdr:row>23</xdr:row>
      <xdr:rowOff>155864</xdr:rowOff>
    </xdr:from>
    <xdr:to>
      <xdr:col>12</xdr:col>
      <xdr:colOff>381000</xdr:colOff>
      <xdr:row>42</xdr:row>
      <xdr:rowOff>99270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B0A06D3-AA9A-4CCC-B20D-1A9108AAD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244928</xdr:colOff>
      <xdr:row>93</xdr:row>
      <xdr:rowOff>77560</xdr:rowOff>
    </xdr:from>
    <xdr:to>
      <xdr:col>13</xdr:col>
      <xdr:colOff>364980</xdr:colOff>
      <xdr:row>132</xdr:row>
      <xdr:rowOff>105203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498FA9-6CD5-46F2-B54E-44D18E0A8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4928" y="17794060"/>
          <a:ext cx="8525865" cy="7457143"/>
        </a:xfrm>
        <a:prstGeom prst="rect">
          <a:avLst/>
        </a:prstGeom>
      </xdr:spPr>
    </xdr:pic>
    <xdr:clientData/>
  </xdr:twoCellAnchor>
  <xdr:twoCellAnchor>
    <xdr:from>
      <xdr:col>12</xdr:col>
      <xdr:colOff>926885</xdr:colOff>
      <xdr:row>23</xdr:row>
      <xdr:rowOff>156881</xdr:rowOff>
    </xdr:from>
    <xdr:to>
      <xdr:col>25</xdr:col>
      <xdr:colOff>49625</xdr:colOff>
      <xdr:row>42</xdr:row>
      <xdr:rowOff>108056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99E05DD-978B-4E23-B6D0-9C3761D42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476250</xdr:colOff>
      <xdr:row>70</xdr:row>
      <xdr:rowOff>0</xdr:rowOff>
    </xdr:from>
    <xdr:to>
      <xdr:col>12</xdr:col>
      <xdr:colOff>57225</xdr:colOff>
      <xdr:row>88</xdr:row>
      <xdr:rowOff>163286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1505D5E-9A48-402B-987E-9DC102AE8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925285</xdr:colOff>
      <xdr:row>46</xdr:row>
      <xdr:rowOff>163285</xdr:rowOff>
    </xdr:from>
    <xdr:to>
      <xdr:col>25</xdr:col>
      <xdr:colOff>34340</xdr:colOff>
      <xdr:row>64</xdr:row>
      <xdr:rowOff>163285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204D998-27BD-49CD-BAF3-9D6BB3350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70</xdr:row>
      <xdr:rowOff>0</xdr:rowOff>
    </xdr:from>
    <xdr:to>
      <xdr:col>25</xdr:col>
      <xdr:colOff>95249</xdr:colOff>
      <xdr:row>88</xdr:row>
      <xdr:rowOff>89647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4947660-7A5F-421F-BCF7-E04815AFC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13</xdr:col>
      <xdr:colOff>342901</xdr:colOff>
      <xdr:row>135</xdr:row>
      <xdr:rowOff>134471</xdr:rowOff>
    </xdr:from>
    <xdr:to>
      <xdr:col>23</xdr:col>
      <xdr:colOff>293594</xdr:colOff>
      <xdr:row>167</xdr:row>
      <xdr:rowOff>67236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25C9476-59BF-44E5-BE0D-F74974099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1" y="25851971"/>
          <a:ext cx="6046693" cy="602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562537</xdr:colOff>
      <xdr:row>93</xdr:row>
      <xdr:rowOff>134470</xdr:rowOff>
    </xdr:from>
    <xdr:to>
      <xdr:col>24</xdr:col>
      <xdr:colOff>20529</xdr:colOff>
      <xdr:row>136</xdr:row>
      <xdr:rowOff>104875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F61B2-081F-41FE-9488-245660E3C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868337" y="17850970"/>
          <a:ext cx="6163592" cy="81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235883</xdr:colOff>
      <xdr:row>133</xdr:row>
      <xdr:rowOff>78721</xdr:rowOff>
    </xdr:from>
    <xdr:to>
      <xdr:col>13</xdr:col>
      <xdr:colOff>440455</xdr:colOff>
      <xdr:row>159</xdr:row>
      <xdr:rowOff>125721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624A0E-FEBC-4D91-A7C5-18507E772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5883" y="25415221"/>
          <a:ext cx="8610385" cy="50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124242</xdr:colOff>
      <xdr:row>34</xdr:row>
      <xdr:rowOff>16564</xdr:rowOff>
    </xdr:from>
    <xdr:to>
      <xdr:col>11</xdr:col>
      <xdr:colOff>546653</xdr:colOff>
      <xdr:row>43</xdr:row>
      <xdr:rowOff>132521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83927A0-FCEA-453B-BFCA-F681F767B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66</xdr:row>
      <xdr:rowOff>33130</xdr:rowOff>
    </xdr:from>
    <xdr:to>
      <xdr:col>11</xdr:col>
      <xdr:colOff>592147</xdr:colOff>
      <xdr:row>98</xdr:row>
      <xdr:rowOff>91108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F8E102-19EC-455C-86BB-AA336E314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606130"/>
          <a:ext cx="8485473" cy="6153978"/>
        </a:xfrm>
        <a:prstGeom prst="rect">
          <a:avLst/>
        </a:prstGeom>
      </xdr:spPr>
    </xdr:pic>
    <xdr:clientData/>
  </xdr:twoCellAnchor>
  <xdr:twoCellAnchor>
    <xdr:from>
      <xdr:col>5</xdr:col>
      <xdr:colOff>157369</xdr:colOff>
      <xdr:row>8</xdr:row>
      <xdr:rowOff>57979</xdr:rowOff>
    </xdr:from>
    <xdr:to>
      <xdr:col>11</xdr:col>
      <xdr:colOff>538369</xdr:colOff>
      <xdr:row>21</xdr:row>
      <xdr:rowOff>91110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55C953-AB27-4219-8287-463422FD4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600075</xdr:colOff>
      <xdr:row>28</xdr:row>
      <xdr:rowOff>19050</xdr:rowOff>
    </xdr:from>
    <xdr:to>
      <xdr:col>14</xdr:col>
      <xdr:colOff>238125</xdr:colOff>
      <xdr:row>46</xdr:row>
      <xdr:rowOff>7535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CC6EBDB-C21F-46CC-975A-DADC72AB6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4972050"/>
          <a:ext cx="3667125" cy="3417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</xdr:row>
      <xdr:rowOff>1</xdr:rowOff>
    </xdr:from>
    <xdr:to>
      <xdr:col>14</xdr:col>
      <xdr:colOff>219075</xdr:colOff>
      <xdr:row>27</xdr:row>
      <xdr:rowOff>65271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CAF1998-A1BE-41D0-9DE8-88B4EC356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24550" y="1905001"/>
          <a:ext cx="3638550" cy="29227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67</xdr:row>
      <xdr:rowOff>161925</xdr:rowOff>
    </xdr:from>
    <xdr:to>
      <xdr:col>12</xdr:col>
      <xdr:colOff>598974</xdr:colOff>
      <xdr:row>88</xdr:row>
      <xdr:rowOff>151901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D9F75F-3D16-4A98-A898-71B9E8534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1401425"/>
          <a:ext cx="8809524" cy="3990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193500</xdr:colOff>
      <xdr:row>97</xdr:row>
      <xdr:rowOff>57150</xdr:rowOff>
    </xdr:from>
    <xdr:to>
      <xdr:col>11</xdr:col>
      <xdr:colOff>692086</xdr:colOff>
      <xdr:row>108</xdr:row>
      <xdr:rowOff>142875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C2B48DA-2390-43E1-98CD-B670FA671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3800" y="14039850"/>
          <a:ext cx="3937111" cy="218122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27</xdr:row>
      <xdr:rowOff>104775</xdr:rowOff>
    </xdr:from>
    <xdr:to>
      <xdr:col>12</xdr:col>
      <xdr:colOff>367221</xdr:colOff>
      <xdr:row>31</xdr:row>
      <xdr:rowOff>93568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D560B1C-0D99-4A27-AAA5-542A822A1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72075" y="5324475"/>
          <a:ext cx="5663121" cy="7507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152400</xdr:rowOff>
    </xdr:from>
    <xdr:to>
      <xdr:col>9</xdr:col>
      <xdr:colOff>552451</xdr:colOff>
      <xdr:row>22</xdr:row>
      <xdr:rowOff>115151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82219F-07FA-4807-A38A-34A4B8164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152400"/>
          <a:ext cx="5981700" cy="41537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599314</xdr:colOff>
      <xdr:row>34</xdr:row>
      <xdr:rowOff>113476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B26014-A83B-4868-B044-8B85DF13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85714" cy="65904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11</xdr:col>
      <xdr:colOff>208706</xdr:colOff>
      <xdr:row>21</xdr:row>
      <xdr:rowOff>161414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913AD7-2D84-422C-B780-EBEF3871F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76200"/>
          <a:ext cx="6752381" cy="4085714"/>
        </a:xfrm>
        <a:prstGeom prst="rect">
          <a:avLst/>
        </a:prstGeom>
      </xdr:spPr>
    </xdr:pic>
    <xdr:clientData/>
  </xdr:twoCellAnchor>
  <xdr:twoCellAnchor editAs="oneCell">
    <xdr:from>
      <xdr:col>11</xdr:col>
      <xdr:colOff>466725</xdr:colOff>
      <xdr:row>0</xdr:row>
      <xdr:rowOff>114300</xdr:rowOff>
    </xdr:from>
    <xdr:to>
      <xdr:col>21</xdr:col>
      <xdr:colOff>551677</xdr:colOff>
      <xdr:row>25</xdr:row>
      <xdr:rowOff>170848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885945-BACE-4CAE-81B7-4885FD435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72325" y="114300"/>
          <a:ext cx="6180952" cy="4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qldglobe.information.qld.gov.au/qldglobe/public/mt-coot-tha-quarry-0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denprojectanglesea.com.au/" TargetMode="External"/><Relationship Id="rId2" Type="http://schemas.openxmlformats.org/officeDocument/2006/relationships/hyperlink" Target="http://www.edenproject.com/" TargetMode="External"/><Relationship Id="rId1" Type="http://schemas.openxmlformats.org/officeDocument/2006/relationships/hyperlink" Target="http://www.amion.co.uk/case-studies/eden-project-evaluation/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savemtcoot-tha.org/ImagesDamag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4CA65-2B16-4EEF-85E7-9F4CEA8FF4D0}">
  <sheetPr>
    <tabColor rgb="FFFFC000"/>
  </sheetPr>
  <dimension ref="B1:N93"/>
  <sheetViews>
    <sheetView tabSelected="1" zoomScale="85" zoomScaleNormal="85" workbookViewId="0"/>
  </sheetViews>
  <sheetFormatPr defaultRowHeight="15" x14ac:dyDescent="0.25"/>
  <cols>
    <col min="13" max="13" width="14.7109375" customWidth="1"/>
  </cols>
  <sheetData>
    <row r="1" s="48" customFormat="1" x14ac:dyDescent="0.25"/>
    <row r="21" spans="2:14" x14ac:dyDescent="0.25">
      <c r="B21" s="12" t="s">
        <v>536</v>
      </c>
      <c r="N21" s="12" t="s">
        <v>284</v>
      </c>
    </row>
    <row r="22" spans="2:14" x14ac:dyDescent="0.25">
      <c r="B22" s="12" t="s">
        <v>278</v>
      </c>
      <c r="N22" s="12" t="s">
        <v>283</v>
      </c>
    </row>
    <row r="23" spans="2:14" x14ac:dyDescent="0.25">
      <c r="B23" s="21" t="s">
        <v>535</v>
      </c>
      <c r="N23" s="21" t="s">
        <v>282</v>
      </c>
    </row>
    <row r="44" spans="2:14" x14ac:dyDescent="0.25">
      <c r="B44" s="12" t="s">
        <v>285</v>
      </c>
      <c r="N44" s="12" t="s">
        <v>281</v>
      </c>
    </row>
    <row r="45" spans="2:14" x14ac:dyDescent="0.25">
      <c r="B45" s="12" t="s">
        <v>286</v>
      </c>
      <c r="N45" s="12" t="s">
        <v>287</v>
      </c>
    </row>
    <row r="46" spans="2:14" x14ac:dyDescent="0.25">
      <c r="B46" s="21" t="s">
        <v>528</v>
      </c>
      <c r="N46" s="21" t="s">
        <v>529</v>
      </c>
    </row>
    <row r="66" spans="2:14" x14ac:dyDescent="0.25">
      <c r="B66" s="15" t="s">
        <v>493</v>
      </c>
      <c r="N66" s="12" t="s">
        <v>265</v>
      </c>
    </row>
    <row r="67" spans="2:14" x14ac:dyDescent="0.25">
      <c r="B67" s="12" t="s">
        <v>497</v>
      </c>
      <c r="N67" s="12" t="s">
        <v>501</v>
      </c>
    </row>
    <row r="68" spans="2:14" x14ac:dyDescent="0.25">
      <c r="B68" s="21" t="s">
        <v>279</v>
      </c>
      <c r="N68" s="12" t="s">
        <v>498</v>
      </c>
    </row>
    <row r="69" spans="2:14" x14ac:dyDescent="0.25">
      <c r="B69" s="21"/>
      <c r="N69" s="21" t="s">
        <v>499</v>
      </c>
    </row>
    <row r="90" spans="2:14" x14ac:dyDescent="0.25">
      <c r="B90" s="12" t="s">
        <v>266</v>
      </c>
      <c r="N90" s="12" t="s">
        <v>506</v>
      </c>
    </row>
    <row r="91" spans="2:14" x14ac:dyDescent="0.25">
      <c r="B91" s="12" t="s">
        <v>507</v>
      </c>
      <c r="N91" s="21" t="s">
        <v>532</v>
      </c>
    </row>
    <row r="92" spans="2:14" x14ac:dyDescent="0.25">
      <c r="B92" s="21" t="s">
        <v>508</v>
      </c>
      <c r="N92" s="108" t="s">
        <v>533</v>
      </c>
    </row>
    <row r="93" spans="2:14" x14ac:dyDescent="0.25">
      <c r="N93" s="108"/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BDF5C-074D-4ECB-BDF1-766EE1BDDCA6}">
  <dimension ref="A1:AP294"/>
  <sheetViews>
    <sheetView workbookViewId="0"/>
  </sheetViews>
  <sheetFormatPr defaultRowHeight="15" x14ac:dyDescent="0.25"/>
  <cols>
    <col min="1" max="1" width="15" style="42" customWidth="1"/>
    <col min="2" max="2" width="16.28515625" style="42" customWidth="1"/>
    <col min="3" max="3" width="9.140625" style="48"/>
    <col min="4" max="4" width="9.140625" style="46"/>
    <col min="7" max="7" width="14.140625" customWidth="1"/>
  </cols>
  <sheetData>
    <row r="1" spans="1:42" ht="22.5" customHeight="1" x14ac:dyDescent="0.25">
      <c r="A1" s="49"/>
      <c r="B1" s="50" t="s">
        <v>53</v>
      </c>
      <c r="D1" s="47">
        <v>43617</v>
      </c>
      <c r="E1" s="45">
        <v>1.7</v>
      </c>
    </row>
    <row r="2" spans="1:42" x14ac:dyDescent="0.25">
      <c r="A2" s="41" t="s">
        <v>54</v>
      </c>
      <c r="B2" s="51" t="s">
        <v>55</v>
      </c>
      <c r="D2" s="47">
        <v>43435</v>
      </c>
      <c r="E2" s="45">
        <v>1.5</v>
      </c>
    </row>
    <row r="3" spans="1:42" x14ac:dyDescent="0.25">
      <c r="A3" s="41" t="s">
        <v>56</v>
      </c>
      <c r="B3" s="51" t="s">
        <v>57</v>
      </c>
      <c r="D3" s="47">
        <v>43070</v>
      </c>
      <c r="E3" s="45">
        <v>1.9</v>
      </c>
    </row>
    <row r="4" spans="1:42" x14ac:dyDescent="0.25">
      <c r="A4" s="41" t="s">
        <v>58</v>
      </c>
      <c r="B4" s="51" t="s">
        <v>59</v>
      </c>
      <c r="D4" s="47">
        <v>42705</v>
      </c>
      <c r="E4" s="45">
        <v>1.6</v>
      </c>
      <c r="G4" t="s">
        <v>28</v>
      </c>
      <c r="H4">
        <v>2019</v>
      </c>
      <c r="I4">
        <f>H4-1</f>
        <v>2018</v>
      </c>
      <c r="J4">
        <f t="shared" ref="J4:AP4" si="0">I4-1</f>
        <v>2017</v>
      </c>
      <c r="K4">
        <f t="shared" si="0"/>
        <v>2016</v>
      </c>
      <c r="L4">
        <f t="shared" si="0"/>
        <v>2015</v>
      </c>
      <c r="M4">
        <f t="shared" si="0"/>
        <v>2014</v>
      </c>
      <c r="N4">
        <f t="shared" si="0"/>
        <v>2013</v>
      </c>
      <c r="O4">
        <f t="shared" si="0"/>
        <v>2012</v>
      </c>
      <c r="P4">
        <f t="shared" si="0"/>
        <v>2011</v>
      </c>
      <c r="Q4">
        <f t="shared" si="0"/>
        <v>2010</v>
      </c>
      <c r="R4">
        <f t="shared" si="0"/>
        <v>2009</v>
      </c>
      <c r="S4">
        <f t="shared" si="0"/>
        <v>2008</v>
      </c>
      <c r="T4">
        <f t="shared" si="0"/>
        <v>2007</v>
      </c>
      <c r="U4">
        <f t="shared" si="0"/>
        <v>2006</v>
      </c>
      <c r="V4">
        <f t="shared" si="0"/>
        <v>2005</v>
      </c>
      <c r="W4">
        <f t="shared" si="0"/>
        <v>2004</v>
      </c>
      <c r="X4">
        <f t="shared" si="0"/>
        <v>2003</v>
      </c>
      <c r="Y4">
        <f t="shared" si="0"/>
        <v>2002</v>
      </c>
      <c r="Z4">
        <f t="shared" si="0"/>
        <v>2001</v>
      </c>
      <c r="AA4">
        <f t="shared" si="0"/>
        <v>2000</v>
      </c>
      <c r="AB4">
        <f t="shared" si="0"/>
        <v>1999</v>
      </c>
      <c r="AC4">
        <f t="shared" si="0"/>
        <v>1998</v>
      </c>
      <c r="AD4">
        <f t="shared" si="0"/>
        <v>1997</v>
      </c>
      <c r="AE4">
        <f t="shared" si="0"/>
        <v>1996</v>
      </c>
      <c r="AF4">
        <f t="shared" si="0"/>
        <v>1995</v>
      </c>
      <c r="AG4">
        <f t="shared" si="0"/>
        <v>1994</v>
      </c>
      <c r="AH4">
        <f t="shared" si="0"/>
        <v>1993</v>
      </c>
      <c r="AI4">
        <f t="shared" si="0"/>
        <v>1992</v>
      </c>
      <c r="AJ4">
        <f t="shared" si="0"/>
        <v>1991</v>
      </c>
      <c r="AK4">
        <f t="shared" si="0"/>
        <v>1990</v>
      </c>
      <c r="AL4">
        <f t="shared" si="0"/>
        <v>1989</v>
      </c>
      <c r="AM4">
        <f t="shared" si="0"/>
        <v>1988</v>
      </c>
      <c r="AN4">
        <f t="shared" si="0"/>
        <v>1987</v>
      </c>
      <c r="AO4">
        <f t="shared" si="0"/>
        <v>1986</v>
      </c>
      <c r="AP4">
        <f t="shared" si="0"/>
        <v>1985</v>
      </c>
    </row>
    <row r="5" spans="1:42" x14ac:dyDescent="0.25">
      <c r="A5" s="41" t="s">
        <v>60</v>
      </c>
      <c r="B5" s="51" t="s">
        <v>61</v>
      </c>
      <c r="D5" s="47">
        <v>42339</v>
      </c>
      <c r="E5" s="45">
        <v>1.7</v>
      </c>
      <c r="G5" s="135">
        <f>AVERAGEA(H5:AP5)</f>
        <v>3.3111428571428576E-2</v>
      </c>
      <c r="H5" s="64">
        <v>1.7000000000000001E-2</v>
      </c>
      <c r="I5" s="64">
        <v>1.4999999999999999E-2</v>
      </c>
      <c r="J5" s="64">
        <v>1.9E-2</v>
      </c>
      <c r="K5" s="64">
        <v>1.6E-2</v>
      </c>
      <c r="L5" s="64">
        <v>1.7000000000000001E-2</v>
      </c>
      <c r="M5" s="64">
        <v>0.02</v>
      </c>
      <c r="N5" s="64">
        <v>2.5999999999999999E-2</v>
      </c>
      <c r="O5" s="64">
        <v>2.1999999999999999E-2</v>
      </c>
      <c r="P5" s="64">
        <v>2.4E-2</v>
      </c>
      <c r="Q5" s="64">
        <v>3.1E-2</v>
      </c>
      <c r="R5" s="64">
        <v>2.5000000000000001E-2</v>
      </c>
      <c r="S5" s="64">
        <v>4.2999999999999997E-2</v>
      </c>
      <c r="T5" s="64">
        <v>3.9E-2</v>
      </c>
      <c r="U5" s="64">
        <v>3.4000000000000002E-2</v>
      </c>
      <c r="V5" s="64">
        <v>2.9000000000000001E-2</v>
      </c>
      <c r="W5" s="64">
        <v>2.5999999999999999E-2</v>
      </c>
      <c r="X5" s="64">
        <v>0.03</v>
      </c>
      <c r="Y5" s="64">
        <v>0.03</v>
      </c>
      <c r="Z5" s="64">
        <v>3.2000000000000001E-2</v>
      </c>
      <c r="AA5" s="64">
        <v>6.0999999999999999E-2</v>
      </c>
      <c r="AB5" s="64">
        <v>9.9000000000000008E-3</v>
      </c>
      <c r="AC5" s="64">
        <v>1.2E-2</v>
      </c>
      <c r="AD5" s="64">
        <v>6.0000000000000001E-3</v>
      </c>
      <c r="AE5" s="64">
        <v>1.7000000000000001E-2</v>
      </c>
      <c r="AF5" s="64">
        <v>4.3999999999999997E-2</v>
      </c>
      <c r="AG5" s="64">
        <v>2.3E-2</v>
      </c>
      <c r="AH5" s="64">
        <v>1.9E-2</v>
      </c>
      <c r="AI5" s="64">
        <v>8.9999999999999993E-3</v>
      </c>
      <c r="AJ5" s="64">
        <v>1.7999999999999999E-2</v>
      </c>
      <c r="AK5" s="64">
        <v>6.0999999999999999E-2</v>
      </c>
      <c r="AL5" s="64">
        <v>7.5999999999999998E-2</v>
      </c>
      <c r="AM5" s="64">
        <v>7.0999999999999994E-2</v>
      </c>
      <c r="AN5" s="64">
        <v>6.9000000000000006E-2</v>
      </c>
      <c r="AO5" s="64">
        <v>0.09</v>
      </c>
      <c r="AP5" s="64">
        <v>7.8E-2</v>
      </c>
    </row>
    <row r="6" spans="1:42" x14ac:dyDescent="0.25">
      <c r="A6" s="41" t="s">
        <v>62</v>
      </c>
      <c r="B6" s="42">
        <v>3</v>
      </c>
      <c r="D6" s="47">
        <v>41974</v>
      </c>
      <c r="E6" s="45">
        <v>2</v>
      </c>
      <c r="G6" s="24" t="s">
        <v>85</v>
      </c>
      <c r="H6" s="63">
        <v>1</v>
      </c>
      <c r="I6" s="63">
        <f t="shared" ref="I6:AP6" si="1">H6-I5</f>
        <v>0.98499999999999999</v>
      </c>
      <c r="J6" s="63">
        <f t="shared" si="1"/>
        <v>0.96599999999999997</v>
      </c>
      <c r="K6" s="63">
        <f t="shared" si="1"/>
        <v>0.95</v>
      </c>
      <c r="L6" s="63">
        <f t="shared" si="1"/>
        <v>0.93299999999999994</v>
      </c>
      <c r="M6" s="63">
        <f t="shared" si="1"/>
        <v>0.91299999999999992</v>
      </c>
      <c r="N6" s="63">
        <f t="shared" si="1"/>
        <v>0.8869999999999999</v>
      </c>
      <c r="O6" s="63">
        <f t="shared" si="1"/>
        <v>0.86499999999999988</v>
      </c>
      <c r="P6" s="63">
        <f t="shared" si="1"/>
        <v>0.84099999999999986</v>
      </c>
      <c r="Q6" s="63">
        <f t="shared" si="1"/>
        <v>0.80999999999999983</v>
      </c>
      <c r="R6" s="63">
        <f t="shared" si="1"/>
        <v>0.78499999999999981</v>
      </c>
      <c r="S6" s="63">
        <f t="shared" si="1"/>
        <v>0.74199999999999977</v>
      </c>
      <c r="T6" s="63">
        <f t="shared" si="1"/>
        <v>0.70299999999999974</v>
      </c>
      <c r="U6" s="63">
        <f t="shared" si="1"/>
        <v>0.66899999999999971</v>
      </c>
      <c r="V6" s="63">
        <f t="shared" si="1"/>
        <v>0.63999999999999968</v>
      </c>
      <c r="W6" s="63">
        <f t="shared" si="1"/>
        <v>0.61399999999999966</v>
      </c>
      <c r="X6" s="63">
        <f t="shared" si="1"/>
        <v>0.58399999999999963</v>
      </c>
      <c r="Y6" s="63">
        <f t="shared" si="1"/>
        <v>0.5539999999999996</v>
      </c>
      <c r="Z6" s="63">
        <f t="shared" si="1"/>
        <v>0.52199999999999958</v>
      </c>
      <c r="AA6" s="63">
        <f t="shared" si="1"/>
        <v>0.46099999999999958</v>
      </c>
      <c r="AB6" s="63">
        <f t="shared" si="1"/>
        <v>0.45109999999999956</v>
      </c>
      <c r="AC6" s="63">
        <f t="shared" si="1"/>
        <v>0.43909999999999955</v>
      </c>
      <c r="AD6" s="63">
        <f t="shared" si="1"/>
        <v>0.43309999999999954</v>
      </c>
      <c r="AE6" s="63">
        <f t="shared" si="1"/>
        <v>0.41609999999999953</v>
      </c>
      <c r="AF6" s="63">
        <f t="shared" si="1"/>
        <v>0.37209999999999954</v>
      </c>
      <c r="AG6" s="63">
        <f t="shared" si="1"/>
        <v>0.34909999999999952</v>
      </c>
      <c r="AH6" s="63">
        <f t="shared" si="1"/>
        <v>0.3300999999999995</v>
      </c>
      <c r="AI6" s="63">
        <f t="shared" si="1"/>
        <v>0.3210999999999995</v>
      </c>
      <c r="AJ6" s="63">
        <f t="shared" si="1"/>
        <v>0.30309999999999948</v>
      </c>
      <c r="AK6" s="63">
        <f t="shared" si="1"/>
        <v>0.24209999999999948</v>
      </c>
      <c r="AL6" s="63">
        <f t="shared" si="1"/>
        <v>0.16609999999999947</v>
      </c>
      <c r="AM6" s="63">
        <f t="shared" si="1"/>
        <v>9.5099999999999477E-2</v>
      </c>
      <c r="AN6" s="63">
        <f t="shared" si="1"/>
        <v>2.6099999999999471E-2</v>
      </c>
      <c r="AO6" s="63">
        <f t="shared" si="1"/>
        <v>-6.3900000000000526E-2</v>
      </c>
      <c r="AP6" s="63">
        <f t="shared" si="1"/>
        <v>-0.14190000000000053</v>
      </c>
    </row>
    <row r="7" spans="1:42" x14ac:dyDescent="0.25">
      <c r="A7" s="43" t="s">
        <v>63</v>
      </c>
      <c r="B7" s="44">
        <v>18142</v>
      </c>
      <c r="D7" s="47">
        <v>41609</v>
      </c>
      <c r="E7" s="45">
        <v>2.6</v>
      </c>
      <c r="G7" t="s">
        <v>86</v>
      </c>
      <c r="H7" s="6">
        <f t="shared" ref="H7:X7" si="2">I7+I5</f>
        <v>1.4779999999999995</v>
      </c>
      <c r="I7" s="6">
        <f t="shared" si="2"/>
        <v>1.4629999999999996</v>
      </c>
      <c r="J7" s="6">
        <f t="shared" si="2"/>
        <v>1.4439999999999997</v>
      </c>
      <c r="K7" s="6">
        <f t="shared" si="2"/>
        <v>1.4279999999999997</v>
      </c>
      <c r="L7" s="6">
        <f t="shared" si="2"/>
        <v>1.4109999999999998</v>
      </c>
      <c r="M7" s="6">
        <f t="shared" si="2"/>
        <v>1.3909999999999998</v>
      </c>
      <c r="N7" s="6">
        <f t="shared" si="2"/>
        <v>1.3649999999999998</v>
      </c>
      <c r="O7" s="6">
        <f t="shared" si="2"/>
        <v>1.3429999999999997</v>
      </c>
      <c r="P7" s="6">
        <f t="shared" si="2"/>
        <v>1.3189999999999997</v>
      </c>
      <c r="Q7" s="6">
        <f t="shared" si="2"/>
        <v>1.2879999999999998</v>
      </c>
      <c r="R7" s="6">
        <f t="shared" si="2"/>
        <v>1.2629999999999999</v>
      </c>
      <c r="S7" s="6">
        <f t="shared" si="2"/>
        <v>1.22</v>
      </c>
      <c r="T7" s="6">
        <f t="shared" si="2"/>
        <v>1.181</v>
      </c>
      <c r="U7" s="6">
        <f t="shared" si="2"/>
        <v>1.147</v>
      </c>
      <c r="V7" s="6">
        <f t="shared" si="2"/>
        <v>1.1180000000000001</v>
      </c>
      <c r="W7" s="6">
        <f t="shared" si="2"/>
        <v>1.0920000000000001</v>
      </c>
      <c r="X7" s="6">
        <f t="shared" si="2"/>
        <v>1.0620000000000001</v>
      </c>
      <c r="Y7" s="6">
        <f>Z7+Z5</f>
        <v>1.032</v>
      </c>
      <c r="Z7" s="6">
        <v>1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x14ac:dyDescent="0.25">
      <c r="A8" s="43" t="s">
        <v>64</v>
      </c>
      <c r="B8" s="44">
        <v>43617</v>
      </c>
      <c r="D8" s="47">
        <v>41244</v>
      </c>
      <c r="E8" s="45">
        <v>2.2000000000000002</v>
      </c>
      <c r="G8" t="s">
        <v>444</v>
      </c>
      <c r="H8" s="6">
        <f t="shared" ref="H8:X8" si="3">I8-I5</f>
        <v>0.52199999999999958</v>
      </c>
      <c r="I8" s="6">
        <f t="shared" si="3"/>
        <v>0.53699999999999959</v>
      </c>
      <c r="J8" s="6">
        <f t="shared" si="3"/>
        <v>0.55599999999999961</v>
      </c>
      <c r="K8" s="6">
        <f t="shared" si="3"/>
        <v>0.57199999999999962</v>
      </c>
      <c r="L8" s="6">
        <f t="shared" si="3"/>
        <v>0.58899999999999963</v>
      </c>
      <c r="M8" s="6">
        <f t="shared" si="3"/>
        <v>0.60899999999999965</v>
      </c>
      <c r="N8" s="6">
        <f t="shared" si="3"/>
        <v>0.63499999999999968</v>
      </c>
      <c r="O8" s="6">
        <f t="shared" si="3"/>
        <v>0.6569999999999997</v>
      </c>
      <c r="P8" s="6">
        <f t="shared" si="3"/>
        <v>0.68099999999999972</v>
      </c>
      <c r="Q8" s="6">
        <f t="shared" si="3"/>
        <v>0.71199999999999974</v>
      </c>
      <c r="R8" s="6">
        <f t="shared" si="3"/>
        <v>0.73699999999999977</v>
      </c>
      <c r="S8" s="6">
        <f t="shared" si="3"/>
        <v>0.7799999999999998</v>
      </c>
      <c r="T8" s="6">
        <f t="shared" si="3"/>
        <v>0.81899999999999984</v>
      </c>
      <c r="U8" s="6">
        <f t="shared" si="3"/>
        <v>0.85299999999999987</v>
      </c>
      <c r="V8" s="6">
        <f t="shared" si="3"/>
        <v>0.8819999999999999</v>
      </c>
      <c r="W8" s="6">
        <f t="shared" si="3"/>
        <v>0.90799999999999992</v>
      </c>
      <c r="X8" s="6">
        <f t="shared" si="3"/>
        <v>0.93799999999999994</v>
      </c>
      <c r="Y8" s="6">
        <f>Z8-Z5</f>
        <v>0.96799999999999997</v>
      </c>
      <c r="Z8" s="6">
        <v>1</v>
      </c>
    </row>
    <row r="9" spans="1:42" x14ac:dyDescent="0.25">
      <c r="A9" s="41" t="s">
        <v>65</v>
      </c>
      <c r="B9" s="42">
        <v>280</v>
      </c>
      <c r="D9" s="47">
        <v>40878</v>
      </c>
      <c r="E9" s="45">
        <v>2.4</v>
      </c>
    </row>
    <row r="10" spans="1:42" x14ac:dyDescent="0.25">
      <c r="A10" s="41" t="s">
        <v>66</v>
      </c>
      <c r="B10" s="51" t="s">
        <v>67</v>
      </c>
      <c r="D10" s="47">
        <v>40513</v>
      </c>
      <c r="E10" s="45">
        <v>3.1</v>
      </c>
    </row>
    <row r="11" spans="1:42" x14ac:dyDescent="0.25">
      <c r="A11" s="52">
        <v>17777</v>
      </c>
      <c r="D11" s="47">
        <v>40148</v>
      </c>
      <c r="E11" s="45">
        <v>2.5</v>
      </c>
    </row>
    <row r="12" spans="1:42" x14ac:dyDescent="0.25">
      <c r="A12" s="52">
        <v>17868</v>
      </c>
      <c r="D12" s="47">
        <v>39783</v>
      </c>
      <c r="E12" s="45">
        <v>4.3</v>
      </c>
    </row>
    <row r="13" spans="1:42" x14ac:dyDescent="0.25">
      <c r="A13" s="52">
        <v>17958</v>
      </c>
      <c r="D13" s="47">
        <v>39417</v>
      </c>
      <c r="E13" s="45">
        <v>3.9</v>
      </c>
      <c r="G13" t="s">
        <v>309</v>
      </c>
      <c r="H13" s="134">
        <v>2019</v>
      </c>
      <c r="I13" s="48">
        <f>H13-1</f>
        <v>2018</v>
      </c>
      <c r="J13" s="48">
        <f t="shared" ref="J13" si="4">I13-1</f>
        <v>2017</v>
      </c>
      <c r="K13" s="48">
        <f t="shared" ref="K13" si="5">J13-1</f>
        <v>2016</v>
      </c>
      <c r="L13" s="48">
        <f t="shared" ref="L13" si="6">K13-1</f>
        <v>2015</v>
      </c>
      <c r="M13" s="48">
        <f t="shared" ref="M13" si="7">L13-1</f>
        <v>2014</v>
      </c>
      <c r="N13" s="48">
        <f t="shared" ref="N13" si="8">M13-1</f>
        <v>2013</v>
      </c>
      <c r="O13" s="48">
        <f t="shared" ref="O13" si="9">N13-1</f>
        <v>2012</v>
      </c>
      <c r="P13" s="48">
        <f t="shared" ref="P13" si="10">O13-1</f>
        <v>2011</v>
      </c>
      <c r="Q13" s="48">
        <f t="shared" ref="Q13" si="11">P13-1</f>
        <v>2010</v>
      </c>
      <c r="R13" s="48">
        <f t="shared" ref="R13" si="12">Q13-1</f>
        <v>2009</v>
      </c>
      <c r="S13" s="48">
        <f t="shared" ref="S13" si="13">R13-1</f>
        <v>2008</v>
      </c>
      <c r="T13" s="48"/>
      <c r="U13" s="48"/>
      <c r="V13" s="48"/>
      <c r="W13" s="48"/>
      <c r="X13" s="48"/>
      <c r="Y13" s="48"/>
      <c r="Z13" s="48"/>
      <c r="AA13" s="48"/>
    </row>
    <row r="14" spans="1:42" x14ac:dyDescent="0.25">
      <c r="A14" s="52">
        <v>18050</v>
      </c>
      <c r="D14" s="47">
        <v>39052</v>
      </c>
      <c r="E14" s="45">
        <v>3.4</v>
      </c>
      <c r="G14" s="135">
        <f>AVERAGEA(H14:AA14)</f>
        <v>2.1583333333333329E-2</v>
      </c>
      <c r="H14" s="63">
        <v>1.7999999999999999E-2</v>
      </c>
      <c r="I14" s="63">
        <v>2.7E-2</v>
      </c>
      <c r="J14" s="63">
        <v>7.0000000000000001E-3</v>
      </c>
      <c r="K14" s="63">
        <v>2E-3</v>
      </c>
      <c r="L14" s="63">
        <v>0</v>
      </c>
      <c r="M14" s="63">
        <v>1.4999999999999999E-2</v>
      </c>
      <c r="N14" s="63">
        <v>2.5999999999999999E-2</v>
      </c>
      <c r="O14" s="63">
        <v>2.8000000000000001E-2</v>
      </c>
      <c r="P14" s="63">
        <v>4.4999999999999998E-2</v>
      </c>
      <c r="Q14" s="63">
        <v>3.3000000000000002E-2</v>
      </c>
      <c r="R14" s="63">
        <v>2.1999999999999999E-2</v>
      </c>
      <c r="S14" s="63">
        <v>3.5999999999999997E-2</v>
      </c>
    </row>
    <row r="15" spans="1:42" x14ac:dyDescent="0.25">
      <c r="A15" s="52">
        <v>18142</v>
      </c>
      <c r="B15" s="45">
        <v>8.1</v>
      </c>
      <c r="D15" s="47">
        <v>38687</v>
      </c>
      <c r="E15" s="45">
        <v>2.9</v>
      </c>
      <c r="G15" s="6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</row>
    <row r="16" spans="1:42" x14ac:dyDescent="0.25">
      <c r="A16" s="52">
        <v>18233</v>
      </c>
      <c r="B16" s="45">
        <v>10.8</v>
      </c>
      <c r="D16" s="47">
        <v>38322</v>
      </c>
      <c r="E16" s="45">
        <v>2.6</v>
      </c>
    </row>
    <row r="17" spans="1:10" x14ac:dyDescent="0.25">
      <c r="A17" s="52">
        <v>18323</v>
      </c>
      <c r="B17" s="45">
        <v>7.9</v>
      </c>
      <c r="D17" s="47">
        <v>37956</v>
      </c>
      <c r="E17" s="45">
        <v>3</v>
      </c>
    </row>
    <row r="18" spans="1:10" x14ac:dyDescent="0.25">
      <c r="A18" s="52">
        <v>18415</v>
      </c>
      <c r="B18" s="45">
        <v>7.7</v>
      </c>
      <c r="D18" s="47">
        <v>37591</v>
      </c>
      <c r="E18" s="45">
        <v>3</v>
      </c>
      <c r="G18" t="s">
        <v>337</v>
      </c>
      <c r="J18">
        <v>1.8557999999999999</v>
      </c>
    </row>
    <row r="19" spans="1:10" x14ac:dyDescent="0.25">
      <c r="A19" s="52">
        <v>18507</v>
      </c>
      <c r="B19" s="45">
        <v>7.5</v>
      </c>
      <c r="D19" s="47">
        <v>37226</v>
      </c>
      <c r="E19" s="45">
        <v>3.2</v>
      </c>
    </row>
    <row r="20" spans="1:10" x14ac:dyDescent="0.25">
      <c r="A20" s="52">
        <v>18598</v>
      </c>
      <c r="B20" s="45">
        <v>7.3</v>
      </c>
      <c r="D20" s="47">
        <v>36861</v>
      </c>
      <c r="E20" s="45">
        <v>6.1</v>
      </c>
    </row>
    <row r="21" spans="1:10" x14ac:dyDescent="0.25">
      <c r="A21" s="52">
        <v>18688</v>
      </c>
      <c r="B21" s="45">
        <v>14.6</v>
      </c>
      <c r="D21" s="47">
        <v>36495</v>
      </c>
      <c r="E21" s="45">
        <v>0.9</v>
      </c>
    </row>
    <row r="22" spans="1:10" x14ac:dyDescent="0.25">
      <c r="A22" s="52">
        <v>18780</v>
      </c>
      <c r="B22" s="45">
        <v>16.7</v>
      </c>
      <c r="D22" s="47">
        <v>36130</v>
      </c>
      <c r="E22" s="45">
        <v>1.2</v>
      </c>
    </row>
    <row r="23" spans="1:10" x14ac:dyDescent="0.25">
      <c r="A23" s="52">
        <v>18872</v>
      </c>
      <c r="B23" s="45">
        <v>18.600000000000001</v>
      </c>
      <c r="D23" s="47">
        <v>35765</v>
      </c>
      <c r="E23" s="45">
        <v>0.6</v>
      </c>
    </row>
    <row r="24" spans="1:10" x14ac:dyDescent="0.25">
      <c r="A24" s="52">
        <v>18963</v>
      </c>
      <c r="B24" s="45">
        <v>27.3</v>
      </c>
      <c r="D24" s="47">
        <v>35400</v>
      </c>
      <c r="E24" s="45">
        <v>1.7</v>
      </c>
    </row>
    <row r="25" spans="1:10" x14ac:dyDescent="0.25">
      <c r="A25" s="52">
        <v>19054</v>
      </c>
      <c r="B25" s="45">
        <v>23.4</v>
      </c>
      <c r="D25" s="47">
        <v>35034</v>
      </c>
      <c r="E25" s="45">
        <v>4.4000000000000004</v>
      </c>
    </row>
    <row r="26" spans="1:10" x14ac:dyDescent="0.25">
      <c r="A26" s="52">
        <v>19146</v>
      </c>
      <c r="B26" s="45">
        <v>20.399999999999999</v>
      </c>
      <c r="D26" s="47">
        <v>34669</v>
      </c>
      <c r="E26" s="45">
        <v>3.2</v>
      </c>
    </row>
    <row r="27" spans="1:10" x14ac:dyDescent="0.25">
      <c r="A27" s="52">
        <v>19238</v>
      </c>
      <c r="B27" s="45">
        <v>19.600000000000001</v>
      </c>
      <c r="D27" s="47">
        <v>34304</v>
      </c>
      <c r="E27" s="45">
        <v>1.9</v>
      </c>
    </row>
    <row r="28" spans="1:10" x14ac:dyDescent="0.25">
      <c r="A28" s="52">
        <v>19329</v>
      </c>
      <c r="B28" s="45">
        <v>8.9</v>
      </c>
      <c r="D28" s="47">
        <v>33939</v>
      </c>
      <c r="E28" s="45">
        <v>0.9</v>
      </c>
    </row>
    <row r="29" spans="1:10" x14ac:dyDescent="0.25">
      <c r="A29" s="52">
        <v>19419</v>
      </c>
      <c r="B29" s="45">
        <v>5.2</v>
      </c>
      <c r="D29" s="47">
        <v>33573</v>
      </c>
      <c r="E29" s="45">
        <v>1.8</v>
      </c>
    </row>
    <row r="30" spans="1:10" x14ac:dyDescent="0.25">
      <c r="A30" s="52">
        <v>19511</v>
      </c>
      <c r="B30" s="45">
        <v>5.0999999999999996</v>
      </c>
      <c r="D30" s="47">
        <v>33208</v>
      </c>
      <c r="E30" s="45">
        <v>6.1</v>
      </c>
    </row>
    <row r="31" spans="1:10" x14ac:dyDescent="0.25">
      <c r="A31" s="52">
        <v>19603</v>
      </c>
      <c r="B31" s="45">
        <v>1.6</v>
      </c>
      <c r="D31" s="47">
        <v>32843</v>
      </c>
      <c r="E31" s="45">
        <v>7.6</v>
      </c>
    </row>
    <row r="32" spans="1:10" x14ac:dyDescent="0.25">
      <c r="A32" s="52">
        <v>19694</v>
      </c>
      <c r="B32" s="45">
        <v>1.6</v>
      </c>
      <c r="D32" s="47">
        <v>32478</v>
      </c>
      <c r="E32" s="45">
        <v>7.1</v>
      </c>
    </row>
    <row r="33" spans="1:5" x14ac:dyDescent="0.25">
      <c r="A33" s="52">
        <v>19784</v>
      </c>
      <c r="B33" s="45">
        <v>1.6</v>
      </c>
      <c r="D33" s="47">
        <v>32112</v>
      </c>
      <c r="E33" s="45">
        <v>6.9</v>
      </c>
    </row>
    <row r="34" spans="1:5" x14ac:dyDescent="0.25">
      <c r="A34" s="52">
        <v>19876</v>
      </c>
      <c r="B34" s="45">
        <v>0</v>
      </c>
      <c r="D34" s="47">
        <v>31747</v>
      </c>
      <c r="E34" s="45">
        <v>9</v>
      </c>
    </row>
    <row r="35" spans="1:5" x14ac:dyDescent="0.25">
      <c r="A35" s="52">
        <v>19968</v>
      </c>
      <c r="B35" s="45">
        <v>0</v>
      </c>
      <c r="D35" s="47">
        <v>31382</v>
      </c>
      <c r="E35" s="45">
        <v>7.8</v>
      </c>
    </row>
    <row r="36" spans="1:5" x14ac:dyDescent="0.25">
      <c r="A36" s="52">
        <v>20059</v>
      </c>
      <c r="B36" s="45">
        <v>0</v>
      </c>
    </row>
    <row r="37" spans="1:5" x14ac:dyDescent="0.25">
      <c r="A37" s="52">
        <v>20149</v>
      </c>
      <c r="B37" s="45">
        <v>1.6</v>
      </c>
    </row>
    <row r="38" spans="1:5" x14ac:dyDescent="0.25">
      <c r="A38" s="52">
        <v>20241</v>
      </c>
      <c r="B38" s="45">
        <v>1.6</v>
      </c>
    </row>
    <row r="39" spans="1:5" x14ac:dyDescent="0.25">
      <c r="A39" s="52">
        <v>20333</v>
      </c>
      <c r="B39" s="45">
        <v>1.6</v>
      </c>
    </row>
    <row r="40" spans="1:5" x14ac:dyDescent="0.25">
      <c r="A40" s="52">
        <v>20424</v>
      </c>
      <c r="B40" s="45">
        <v>3.2</v>
      </c>
    </row>
    <row r="41" spans="1:5" x14ac:dyDescent="0.25">
      <c r="A41" s="52">
        <v>20515</v>
      </c>
      <c r="B41" s="45">
        <v>3.2</v>
      </c>
    </row>
    <row r="42" spans="1:5" x14ac:dyDescent="0.25">
      <c r="A42" s="52">
        <v>20607</v>
      </c>
      <c r="B42" s="45">
        <v>6.3</v>
      </c>
    </row>
    <row r="43" spans="1:5" x14ac:dyDescent="0.25">
      <c r="A43" s="52">
        <v>20699</v>
      </c>
      <c r="B43" s="45">
        <v>7.9</v>
      </c>
    </row>
    <row r="44" spans="1:5" x14ac:dyDescent="0.25">
      <c r="A44" s="52">
        <v>20790</v>
      </c>
      <c r="B44" s="45">
        <v>6.3</v>
      </c>
    </row>
    <row r="45" spans="1:5" x14ac:dyDescent="0.25">
      <c r="A45" s="52">
        <v>20880</v>
      </c>
      <c r="B45" s="45">
        <v>4.5999999999999996</v>
      </c>
    </row>
    <row r="46" spans="1:5" x14ac:dyDescent="0.25">
      <c r="A46" s="52">
        <v>20972</v>
      </c>
      <c r="B46" s="45">
        <v>3</v>
      </c>
    </row>
    <row r="47" spans="1:5" x14ac:dyDescent="0.25">
      <c r="A47" s="52">
        <v>21064</v>
      </c>
      <c r="B47" s="45">
        <v>1.5</v>
      </c>
    </row>
    <row r="48" spans="1:5" x14ac:dyDescent="0.25">
      <c r="A48" s="52">
        <v>21155</v>
      </c>
      <c r="B48" s="45">
        <v>1.5</v>
      </c>
    </row>
    <row r="49" spans="1:2" x14ac:dyDescent="0.25">
      <c r="A49" s="52">
        <v>21245</v>
      </c>
      <c r="B49" s="45">
        <v>2.9</v>
      </c>
    </row>
    <row r="50" spans="1:2" x14ac:dyDescent="0.25">
      <c r="A50" s="52">
        <v>21337</v>
      </c>
      <c r="B50" s="45">
        <v>1.4</v>
      </c>
    </row>
    <row r="51" spans="1:2" x14ac:dyDescent="0.25">
      <c r="A51" s="52">
        <v>21429</v>
      </c>
      <c r="B51" s="45">
        <v>2.9</v>
      </c>
    </row>
    <row r="52" spans="1:2" x14ac:dyDescent="0.25">
      <c r="A52" s="52">
        <v>21520</v>
      </c>
      <c r="B52" s="45">
        <v>4.3</v>
      </c>
    </row>
    <row r="53" spans="1:2" x14ac:dyDescent="0.25">
      <c r="A53" s="52">
        <v>21610</v>
      </c>
      <c r="B53" s="45">
        <v>2.9</v>
      </c>
    </row>
    <row r="54" spans="1:2" x14ac:dyDescent="0.25">
      <c r="A54" s="52">
        <v>21702</v>
      </c>
      <c r="B54" s="45">
        <v>2.9</v>
      </c>
    </row>
    <row r="55" spans="1:2" x14ac:dyDescent="0.25">
      <c r="A55" s="52">
        <v>21794</v>
      </c>
      <c r="B55" s="45">
        <v>2.8</v>
      </c>
    </row>
    <row r="56" spans="1:2" x14ac:dyDescent="0.25">
      <c r="A56" s="52">
        <v>21885</v>
      </c>
      <c r="B56" s="45">
        <v>2.8</v>
      </c>
    </row>
    <row r="57" spans="1:2" x14ac:dyDescent="0.25">
      <c r="A57" s="52">
        <v>21976</v>
      </c>
      <c r="B57" s="45">
        <v>2.8</v>
      </c>
    </row>
    <row r="58" spans="1:2" x14ac:dyDescent="0.25">
      <c r="A58" s="52">
        <v>22068</v>
      </c>
      <c r="B58" s="45">
        <v>2.8</v>
      </c>
    </row>
    <row r="59" spans="1:2" x14ac:dyDescent="0.25">
      <c r="A59" s="52">
        <v>22160</v>
      </c>
      <c r="B59" s="45">
        <v>2.7</v>
      </c>
    </row>
    <row r="60" spans="1:2" x14ac:dyDescent="0.25">
      <c r="A60" s="52">
        <v>22251</v>
      </c>
      <c r="B60" s="45">
        <v>2.7</v>
      </c>
    </row>
    <row r="61" spans="1:2" x14ac:dyDescent="0.25">
      <c r="A61" s="52">
        <v>22341</v>
      </c>
      <c r="B61" s="45">
        <v>4.0999999999999996</v>
      </c>
    </row>
    <row r="62" spans="1:2" x14ac:dyDescent="0.25">
      <c r="A62" s="52">
        <v>22433</v>
      </c>
      <c r="B62" s="45">
        <v>4.0999999999999996</v>
      </c>
    </row>
    <row r="63" spans="1:2" x14ac:dyDescent="0.25">
      <c r="A63" s="52">
        <v>22525</v>
      </c>
      <c r="B63" s="45">
        <v>2.7</v>
      </c>
    </row>
    <row r="64" spans="1:2" x14ac:dyDescent="0.25">
      <c r="A64" s="52">
        <v>22616</v>
      </c>
      <c r="B64" s="45">
        <v>1.3</v>
      </c>
    </row>
    <row r="65" spans="1:2" x14ac:dyDescent="0.25">
      <c r="A65" s="52">
        <v>22706</v>
      </c>
      <c r="B65" s="45">
        <v>1.3</v>
      </c>
    </row>
    <row r="66" spans="1:2" x14ac:dyDescent="0.25">
      <c r="A66" s="52">
        <v>22798</v>
      </c>
      <c r="B66" s="45">
        <v>1.3</v>
      </c>
    </row>
    <row r="67" spans="1:2" x14ac:dyDescent="0.25">
      <c r="A67" s="52">
        <v>22890</v>
      </c>
      <c r="B67" s="45">
        <v>1.3</v>
      </c>
    </row>
    <row r="68" spans="1:2" x14ac:dyDescent="0.25">
      <c r="A68" s="52">
        <v>22981</v>
      </c>
      <c r="B68" s="45">
        <v>1.3</v>
      </c>
    </row>
    <row r="69" spans="1:2" x14ac:dyDescent="0.25">
      <c r="A69" s="52">
        <v>23071</v>
      </c>
      <c r="B69" s="45">
        <v>0</v>
      </c>
    </row>
    <row r="70" spans="1:2" x14ac:dyDescent="0.25">
      <c r="A70" s="52">
        <v>23163</v>
      </c>
      <c r="B70" s="45">
        <v>0</v>
      </c>
    </row>
    <row r="71" spans="1:2" x14ac:dyDescent="0.25">
      <c r="A71" s="52">
        <v>23255</v>
      </c>
      <c r="B71" s="45">
        <v>0</v>
      </c>
    </row>
    <row r="72" spans="1:2" x14ac:dyDescent="0.25">
      <c r="A72" s="52">
        <v>23346</v>
      </c>
      <c r="B72" s="45">
        <v>0</v>
      </c>
    </row>
    <row r="73" spans="1:2" x14ac:dyDescent="0.25">
      <c r="A73" s="52">
        <v>23437</v>
      </c>
      <c r="B73" s="45">
        <v>1.3</v>
      </c>
    </row>
    <row r="74" spans="1:2" x14ac:dyDescent="0.25">
      <c r="A74" s="52">
        <v>23529</v>
      </c>
      <c r="B74" s="45">
        <v>2.6</v>
      </c>
    </row>
    <row r="75" spans="1:2" x14ac:dyDescent="0.25">
      <c r="A75" s="52">
        <v>23621</v>
      </c>
      <c r="B75" s="45">
        <v>3.8</v>
      </c>
    </row>
    <row r="76" spans="1:2" x14ac:dyDescent="0.25">
      <c r="A76" s="52">
        <v>23712</v>
      </c>
      <c r="B76" s="45">
        <v>3.8</v>
      </c>
    </row>
    <row r="77" spans="1:2" x14ac:dyDescent="0.25">
      <c r="A77" s="52">
        <v>23802</v>
      </c>
      <c r="B77" s="45">
        <v>3.8</v>
      </c>
    </row>
    <row r="78" spans="1:2" x14ac:dyDescent="0.25">
      <c r="A78" s="52">
        <v>23894</v>
      </c>
      <c r="B78" s="45">
        <v>3.8</v>
      </c>
    </row>
    <row r="79" spans="1:2" x14ac:dyDescent="0.25">
      <c r="A79" s="52">
        <v>23986</v>
      </c>
      <c r="B79" s="45">
        <v>3.7</v>
      </c>
    </row>
    <row r="80" spans="1:2" x14ac:dyDescent="0.25">
      <c r="A80" s="52">
        <v>24077</v>
      </c>
      <c r="B80" s="45">
        <v>4.9000000000000004</v>
      </c>
    </row>
    <row r="81" spans="1:2" x14ac:dyDescent="0.25">
      <c r="A81" s="52">
        <v>24167</v>
      </c>
      <c r="B81" s="45">
        <v>4.9000000000000004</v>
      </c>
    </row>
    <row r="82" spans="1:2" x14ac:dyDescent="0.25">
      <c r="A82" s="52">
        <v>24259</v>
      </c>
      <c r="B82" s="45">
        <v>4.8</v>
      </c>
    </row>
    <row r="83" spans="1:2" x14ac:dyDescent="0.25">
      <c r="A83" s="52">
        <v>24351</v>
      </c>
      <c r="B83" s="45">
        <v>3.6</v>
      </c>
    </row>
    <row r="84" spans="1:2" x14ac:dyDescent="0.25">
      <c r="A84" s="52">
        <v>24442</v>
      </c>
      <c r="B84" s="45">
        <v>3.5</v>
      </c>
    </row>
    <row r="85" spans="1:2" x14ac:dyDescent="0.25">
      <c r="A85" s="52">
        <v>24532</v>
      </c>
      <c r="B85" s="45">
        <v>2.2999999999999998</v>
      </c>
    </row>
    <row r="86" spans="1:2" x14ac:dyDescent="0.25">
      <c r="A86" s="52">
        <v>24624</v>
      </c>
      <c r="B86" s="45">
        <v>2.2999999999999998</v>
      </c>
    </row>
    <row r="87" spans="1:2" x14ac:dyDescent="0.25">
      <c r="A87" s="52">
        <v>24716</v>
      </c>
      <c r="B87" s="45">
        <v>3.4</v>
      </c>
    </row>
    <row r="88" spans="1:2" x14ac:dyDescent="0.25">
      <c r="A88" s="52">
        <v>24807</v>
      </c>
      <c r="B88" s="45">
        <v>2.2999999999999998</v>
      </c>
    </row>
    <row r="89" spans="1:2" x14ac:dyDescent="0.25">
      <c r="A89" s="52">
        <v>24898</v>
      </c>
      <c r="B89" s="45">
        <v>3.4</v>
      </c>
    </row>
    <row r="90" spans="1:2" x14ac:dyDescent="0.25">
      <c r="A90" s="52">
        <v>24990</v>
      </c>
      <c r="B90" s="45">
        <v>2.2000000000000002</v>
      </c>
    </row>
    <row r="91" spans="1:2" x14ac:dyDescent="0.25">
      <c r="A91" s="52">
        <v>25082</v>
      </c>
      <c r="B91" s="45">
        <v>2.2000000000000002</v>
      </c>
    </row>
    <row r="92" spans="1:2" x14ac:dyDescent="0.25">
      <c r="A92" s="52">
        <v>25173</v>
      </c>
      <c r="B92" s="45">
        <v>2.2000000000000002</v>
      </c>
    </row>
    <row r="93" spans="1:2" x14ac:dyDescent="0.25">
      <c r="A93" s="52">
        <v>25263</v>
      </c>
      <c r="B93" s="45">
        <v>2.2000000000000002</v>
      </c>
    </row>
    <row r="94" spans="1:2" x14ac:dyDescent="0.25">
      <c r="A94" s="52">
        <v>25355</v>
      </c>
      <c r="B94" s="45">
        <v>3.3</v>
      </c>
    </row>
    <row r="95" spans="1:2" x14ac:dyDescent="0.25">
      <c r="A95" s="52">
        <v>25447</v>
      </c>
      <c r="B95" s="45">
        <v>2.2000000000000002</v>
      </c>
    </row>
    <row r="96" spans="1:2" x14ac:dyDescent="0.25">
      <c r="A96" s="52">
        <v>25538</v>
      </c>
      <c r="B96" s="45">
        <v>3.3</v>
      </c>
    </row>
    <row r="97" spans="1:2" x14ac:dyDescent="0.25">
      <c r="A97" s="52">
        <v>25628</v>
      </c>
      <c r="B97" s="45">
        <v>3.2</v>
      </c>
    </row>
    <row r="98" spans="1:2" x14ac:dyDescent="0.25">
      <c r="A98" s="52">
        <v>25720</v>
      </c>
      <c r="B98" s="45">
        <v>2.1</v>
      </c>
    </row>
    <row r="99" spans="1:2" x14ac:dyDescent="0.25">
      <c r="A99" s="52">
        <v>25812</v>
      </c>
      <c r="B99" s="45">
        <v>3.2</v>
      </c>
    </row>
    <row r="100" spans="1:2" x14ac:dyDescent="0.25">
      <c r="A100" s="52">
        <v>25903</v>
      </c>
      <c r="B100" s="45">
        <v>5.3</v>
      </c>
    </row>
    <row r="101" spans="1:2" x14ac:dyDescent="0.25">
      <c r="A101" s="52">
        <v>25993</v>
      </c>
      <c r="B101" s="45">
        <v>5.2</v>
      </c>
    </row>
    <row r="102" spans="1:2" x14ac:dyDescent="0.25">
      <c r="A102" s="52">
        <v>26085</v>
      </c>
      <c r="B102" s="45">
        <v>7.3</v>
      </c>
    </row>
    <row r="103" spans="1:2" x14ac:dyDescent="0.25">
      <c r="A103" s="52">
        <v>26177</v>
      </c>
      <c r="B103" s="45">
        <v>7.2</v>
      </c>
    </row>
    <row r="104" spans="1:2" x14ac:dyDescent="0.25">
      <c r="A104" s="52">
        <v>26268</v>
      </c>
      <c r="B104" s="45">
        <v>7</v>
      </c>
    </row>
    <row r="105" spans="1:2" x14ac:dyDescent="0.25">
      <c r="A105" s="52">
        <v>26359</v>
      </c>
      <c r="B105" s="45">
        <v>6.9</v>
      </c>
    </row>
    <row r="106" spans="1:2" x14ac:dyDescent="0.25">
      <c r="A106" s="52">
        <v>26451</v>
      </c>
      <c r="B106" s="45">
        <v>5.8</v>
      </c>
    </row>
    <row r="107" spans="1:2" x14ac:dyDescent="0.25">
      <c r="A107" s="52">
        <v>26543</v>
      </c>
      <c r="B107" s="45">
        <v>4.8</v>
      </c>
    </row>
    <row r="108" spans="1:2" x14ac:dyDescent="0.25">
      <c r="A108" s="52">
        <v>26634</v>
      </c>
      <c r="B108" s="45">
        <v>3.7</v>
      </c>
    </row>
    <row r="109" spans="1:2" x14ac:dyDescent="0.25">
      <c r="A109" s="52">
        <v>26724</v>
      </c>
      <c r="B109" s="45">
        <v>5.6</v>
      </c>
    </row>
    <row r="110" spans="1:2" x14ac:dyDescent="0.25">
      <c r="A110" s="52">
        <v>26816</v>
      </c>
      <c r="B110" s="45">
        <v>7.3</v>
      </c>
    </row>
    <row r="111" spans="1:2" x14ac:dyDescent="0.25">
      <c r="A111" s="52">
        <v>26908</v>
      </c>
      <c r="B111" s="45">
        <v>11.9</v>
      </c>
    </row>
    <row r="112" spans="1:2" x14ac:dyDescent="0.25">
      <c r="A112" s="52">
        <v>26999</v>
      </c>
      <c r="B112" s="45">
        <v>14.4</v>
      </c>
    </row>
    <row r="113" spans="1:2" x14ac:dyDescent="0.25">
      <c r="A113" s="52">
        <v>27089</v>
      </c>
      <c r="B113" s="45">
        <v>14</v>
      </c>
    </row>
    <row r="114" spans="1:2" x14ac:dyDescent="0.25">
      <c r="A114" s="52">
        <v>27181</v>
      </c>
      <c r="B114" s="45">
        <v>14.5</v>
      </c>
    </row>
    <row r="115" spans="1:2" x14ac:dyDescent="0.25">
      <c r="A115" s="52">
        <v>27273</v>
      </c>
      <c r="B115" s="45">
        <v>16.399999999999999</v>
      </c>
    </row>
    <row r="116" spans="1:2" x14ac:dyDescent="0.25">
      <c r="A116" s="52">
        <v>27364</v>
      </c>
      <c r="B116" s="45">
        <v>15</v>
      </c>
    </row>
    <row r="117" spans="1:2" x14ac:dyDescent="0.25">
      <c r="A117" s="52">
        <v>27454</v>
      </c>
      <c r="B117" s="45">
        <v>15.4</v>
      </c>
    </row>
    <row r="118" spans="1:2" x14ac:dyDescent="0.25">
      <c r="A118" s="52">
        <v>27546</v>
      </c>
      <c r="B118" s="45">
        <v>14.9</v>
      </c>
    </row>
    <row r="119" spans="1:2" x14ac:dyDescent="0.25">
      <c r="A119" s="52">
        <v>27638</v>
      </c>
      <c r="B119" s="45">
        <v>10.6</v>
      </c>
    </row>
    <row r="120" spans="1:2" x14ac:dyDescent="0.25">
      <c r="A120" s="52">
        <v>27729</v>
      </c>
      <c r="B120" s="45">
        <v>14.4</v>
      </c>
    </row>
    <row r="121" spans="1:2" x14ac:dyDescent="0.25">
      <c r="A121" s="52">
        <v>27820</v>
      </c>
      <c r="B121" s="45">
        <v>14</v>
      </c>
    </row>
    <row r="122" spans="1:2" x14ac:dyDescent="0.25">
      <c r="A122" s="52">
        <v>27912</v>
      </c>
      <c r="B122" s="45">
        <v>14.3</v>
      </c>
    </row>
    <row r="123" spans="1:2" x14ac:dyDescent="0.25">
      <c r="A123" s="52">
        <v>28004</v>
      </c>
      <c r="B123" s="45">
        <v>14.6</v>
      </c>
    </row>
    <row r="124" spans="1:2" x14ac:dyDescent="0.25">
      <c r="A124" s="52">
        <v>28095</v>
      </c>
      <c r="B124" s="45">
        <v>14.4</v>
      </c>
    </row>
    <row r="125" spans="1:2" x14ac:dyDescent="0.25">
      <c r="A125" s="52">
        <v>28185</v>
      </c>
      <c r="B125" s="45">
        <v>14</v>
      </c>
    </row>
    <row r="126" spans="1:2" x14ac:dyDescent="0.25">
      <c r="A126" s="52">
        <v>28277</v>
      </c>
      <c r="B126" s="45">
        <v>13.1</v>
      </c>
    </row>
    <row r="127" spans="1:2" x14ac:dyDescent="0.25">
      <c r="A127" s="52">
        <v>28369</v>
      </c>
      <c r="B127" s="45">
        <v>12.8</v>
      </c>
    </row>
    <row r="128" spans="1:2" x14ac:dyDescent="0.25">
      <c r="A128" s="52">
        <v>28460</v>
      </c>
      <c r="B128" s="45">
        <v>8.4</v>
      </c>
    </row>
    <row r="129" spans="1:2" x14ac:dyDescent="0.25">
      <c r="A129" s="52">
        <v>28550</v>
      </c>
      <c r="B129" s="45">
        <v>8.1999999999999993</v>
      </c>
    </row>
    <row r="130" spans="1:2" x14ac:dyDescent="0.25">
      <c r="A130" s="52">
        <v>28642</v>
      </c>
      <c r="B130" s="45">
        <v>8</v>
      </c>
    </row>
    <row r="131" spans="1:2" x14ac:dyDescent="0.25">
      <c r="A131" s="52">
        <v>28734</v>
      </c>
      <c r="B131" s="45">
        <v>7.9</v>
      </c>
    </row>
    <row r="132" spans="1:2" x14ac:dyDescent="0.25">
      <c r="A132" s="52">
        <v>28825</v>
      </c>
      <c r="B132" s="45">
        <v>9.1999999999999993</v>
      </c>
    </row>
    <row r="133" spans="1:2" x14ac:dyDescent="0.25">
      <c r="A133" s="52">
        <v>28915</v>
      </c>
      <c r="B133" s="45">
        <v>8.1</v>
      </c>
    </row>
    <row r="134" spans="1:2" x14ac:dyDescent="0.25">
      <c r="A134" s="52">
        <v>29007</v>
      </c>
      <c r="B134" s="45">
        <v>8.4</v>
      </c>
    </row>
    <row r="135" spans="1:2" x14ac:dyDescent="0.25">
      <c r="A135" s="52">
        <v>29099</v>
      </c>
      <c r="B135" s="45">
        <v>8.6999999999999993</v>
      </c>
    </row>
    <row r="136" spans="1:2" x14ac:dyDescent="0.25">
      <c r="A136" s="52">
        <v>29190</v>
      </c>
      <c r="B136" s="45">
        <v>8.8000000000000007</v>
      </c>
    </row>
    <row r="137" spans="1:2" x14ac:dyDescent="0.25">
      <c r="A137" s="52">
        <v>29281</v>
      </c>
      <c r="B137" s="45">
        <v>10.5</v>
      </c>
    </row>
    <row r="138" spans="1:2" x14ac:dyDescent="0.25">
      <c r="A138" s="52">
        <v>29373</v>
      </c>
      <c r="B138" s="45">
        <v>10.7</v>
      </c>
    </row>
    <row r="139" spans="1:2" x14ac:dyDescent="0.25">
      <c r="A139" s="52">
        <v>29465</v>
      </c>
      <c r="B139" s="45">
        <v>10.1</v>
      </c>
    </row>
    <row r="140" spans="1:2" x14ac:dyDescent="0.25">
      <c r="A140" s="52">
        <v>29556</v>
      </c>
      <c r="B140" s="45">
        <v>8.9</v>
      </c>
    </row>
    <row r="141" spans="1:2" x14ac:dyDescent="0.25">
      <c r="A141" s="52">
        <v>29646</v>
      </c>
      <c r="B141" s="45">
        <v>8.6999999999999993</v>
      </c>
    </row>
    <row r="142" spans="1:2" x14ac:dyDescent="0.25">
      <c r="A142" s="52">
        <v>29738</v>
      </c>
      <c r="B142" s="45">
        <v>8.9</v>
      </c>
    </row>
    <row r="143" spans="1:2" x14ac:dyDescent="0.25">
      <c r="A143" s="52">
        <v>29830</v>
      </c>
      <c r="B143" s="45">
        <v>9.9</v>
      </c>
    </row>
    <row r="144" spans="1:2" x14ac:dyDescent="0.25">
      <c r="A144" s="52">
        <v>29921</v>
      </c>
      <c r="B144" s="45">
        <v>11.6</v>
      </c>
    </row>
    <row r="145" spans="1:2" x14ac:dyDescent="0.25">
      <c r="A145" s="52">
        <v>30011</v>
      </c>
      <c r="B145" s="45">
        <v>11.7</v>
      </c>
    </row>
    <row r="146" spans="1:2" x14ac:dyDescent="0.25">
      <c r="A146" s="52">
        <v>30103</v>
      </c>
      <c r="B146" s="45">
        <v>10.3</v>
      </c>
    </row>
    <row r="147" spans="1:2" x14ac:dyDescent="0.25">
      <c r="A147" s="52">
        <v>30195</v>
      </c>
      <c r="B147" s="45">
        <v>11.1</v>
      </c>
    </row>
    <row r="148" spans="1:2" x14ac:dyDescent="0.25">
      <c r="A148" s="52">
        <v>30286</v>
      </c>
      <c r="B148" s="45">
        <v>10.7</v>
      </c>
    </row>
    <row r="149" spans="1:2" x14ac:dyDescent="0.25">
      <c r="A149" s="52">
        <v>30376</v>
      </c>
      <c r="B149" s="45">
        <v>10.8</v>
      </c>
    </row>
    <row r="150" spans="1:2" x14ac:dyDescent="0.25">
      <c r="A150" s="52">
        <v>30468</v>
      </c>
      <c r="B150" s="45">
        <v>10.6</v>
      </c>
    </row>
    <row r="151" spans="1:2" x14ac:dyDescent="0.25">
      <c r="A151" s="52">
        <v>30560</v>
      </c>
      <c r="B151" s="45">
        <v>9.6999999999999993</v>
      </c>
    </row>
    <row r="152" spans="1:2" x14ac:dyDescent="0.25">
      <c r="A152" s="52">
        <v>30651</v>
      </c>
      <c r="B152" s="45">
        <v>8.1999999999999993</v>
      </c>
    </row>
    <row r="153" spans="1:2" x14ac:dyDescent="0.25">
      <c r="A153" s="52">
        <v>30742</v>
      </c>
      <c r="B153" s="45">
        <v>5.9</v>
      </c>
    </row>
    <row r="154" spans="1:2" x14ac:dyDescent="0.25">
      <c r="A154" s="52">
        <v>30834</v>
      </c>
      <c r="B154" s="45">
        <v>5.5</v>
      </c>
    </row>
    <row r="155" spans="1:2" x14ac:dyDescent="0.25">
      <c r="A155" s="52">
        <v>30926</v>
      </c>
      <c r="B155" s="45">
        <v>4.5999999999999996</v>
      </c>
    </row>
    <row r="156" spans="1:2" x14ac:dyDescent="0.25">
      <c r="A156" s="52">
        <v>31017</v>
      </c>
      <c r="B156" s="45">
        <v>3.6</v>
      </c>
    </row>
    <row r="157" spans="1:2" x14ac:dyDescent="0.25">
      <c r="A157" s="52">
        <v>31107</v>
      </c>
      <c r="B157" s="45">
        <v>4.7</v>
      </c>
    </row>
    <row r="158" spans="1:2" x14ac:dyDescent="0.25">
      <c r="A158" s="52">
        <v>31199</v>
      </c>
      <c r="B158" s="45">
        <v>5.8</v>
      </c>
    </row>
    <row r="159" spans="1:2" x14ac:dyDescent="0.25">
      <c r="A159" s="52">
        <v>31291</v>
      </c>
      <c r="B159" s="45">
        <v>7.1</v>
      </c>
    </row>
    <row r="160" spans="1:2" x14ac:dyDescent="0.25">
      <c r="A160" s="52">
        <v>31382</v>
      </c>
      <c r="B160" s="45">
        <v>7.8</v>
      </c>
    </row>
    <row r="161" spans="1:2" x14ac:dyDescent="0.25">
      <c r="A161" s="52">
        <v>31472</v>
      </c>
      <c r="B161" s="45">
        <v>9</v>
      </c>
    </row>
    <row r="162" spans="1:2" x14ac:dyDescent="0.25">
      <c r="A162" s="52">
        <v>31564</v>
      </c>
      <c r="B162" s="45">
        <v>8.1</v>
      </c>
    </row>
    <row r="163" spans="1:2" x14ac:dyDescent="0.25">
      <c r="A163" s="52">
        <v>31656</v>
      </c>
      <c r="B163" s="45">
        <v>8.1</v>
      </c>
    </row>
    <row r="164" spans="1:2" x14ac:dyDescent="0.25">
      <c r="A164" s="52">
        <v>31747</v>
      </c>
      <c r="B164" s="45">
        <v>9</v>
      </c>
    </row>
    <row r="165" spans="1:2" x14ac:dyDescent="0.25">
      <c r="A165" s="52">
        <v>31837</v>
      </c>
      <c r="B165" s="45">
        <v>8.5</v>
      </c>
    </row>
    <row r="166" spans="1:2" x14ac:dyDescent="0.25">
      <c r="A166" s="52">
        <v>31929</v>
      </c>
      <c r="B166" s="45">
        <v>8.9</v>
      </c>
    </row>
    <row r="167" spans="1:2" x14ac:dyDescent="0.25">
      <c r="A167" s="52">
        <v>32021</v>
      </c>
      <c r="B167" s="45">
        <v>7.5</v>
      </c>
    </row>
    <row r="168" spans="1:2" x14ac:dyDescent="0.25">
      <c r="A168" s="52">
        <v>32112</v>
      </c>
      <c r="B168" s="45">
        <v>6.9</v>
      </c>
    </row>
    <row r="169" spans="1:2" x14ac:dyDescent="0.25">
      <c r="A169" s="52">
        <v>32203</v>
      </c>
      <c r="B169" s="45">
        <v>6.5</v>
      </c>
    </row>
    <row r="170" spans="1:2" x14ac:dyDescent="0.25">
      <c r="A170" s="52">
        <v>32295</v>
      </c>
      <c r="B170" s="45">
        <v>7.1</v>
      </c>
    </row>
    <row r="171" spans="1:2" x14ac:dyDescent="0.25">
      <c r="A171" s="52">
        <v>32387</v>
      </c>
      <c r="B171" s="45">
        <v>7.2</v>
      </c>
    </row>
    <row r="172" spans="1:2" x14ac:dyDescent="0.25">
      <c r="A172" s="52">
        <v>32478</v>
      </c>
      <c r="B172" s="45">
        <v>7.1</v>
      </c>
    </row>
    <row r="173" spans="1:2" x14ac:dyDescent="0.25">
      <c r="A173" s="52">
        <v>32568</v>
      </c>
      <c r="B173" s="45">
        <v>6.8</v>
      </c>
    </row>
    <row r="174" spans="1:2" x14ac:dyDescent="0.25">
      <c r="A174" s="52">
        <v>32660</v>
      </c>
      <c r="B174" s="45">
        <v>7.2</v>
      </c>
    </row>
    <row r="175" spans="1:2" x14ac:dyDescent="0.25">
      <c r="A175" s="52">
        <v>32752</v>
      </c>
      <c r="B175" s="45">
        <v>7.8</v>
      </c>
    </row>
    <row r="176" spans="1:2" x14ac:dyDescent="0.25">
      <c r="A176" s="52">
        <v>32843</v>
      </c>
      <c r="B176" s="45">
        <v>7.6</v>
      </c>
    </row>
    <row r="177" spans="1:2" x14ac:dyDescent="0.25">
      <c r="A177" s="52">
        <v>32933</v>
      </c>
      <c r="B177" s="45">
        <v>7.7</v>
      </c>
    </row>
    <row r="178" spans="1:2" x14ac:dyDescent="0.25">
      <c r="A178" s="52">
        <v>33025</v>
      </c>
      <c r="B178" s="45">
        <v>6.8</v>
      </c>
    </row>
    <row r="179" spans="1:2" x14ac:dyDescent="0.25">
      <c r="A179" s="52">
        <v>33117</v>
      </c>
      <c r="B179" s="45">
        <v>5.3</v>
      </c>
    </row>
    <row r="180" spans="1:2" x14ac:dyDescent="0.25">
      <c r="A180" s="52">
        <v>33208</v>
      </c>
      <c r="B180" s="45">
        <v>6.1</v>
      </c>
    </row>
    <row r="181" spans="1:2" x14ac:dyDescent="0.25">
      <c r="A181" s="52">
        <v>33298</v>
      </c>
      <c r="B181" s="45">
        <v>5</v>
      </c>
    </row>
    <row r="182" spans="1:2" x14ac:dyDescent="0.25">
      <c r="A182" s="52">
        <v>33390</v>
      </c>
      <c r="B182" s="45">
        <v>3.4</v>
      </c>
    </row>
    <row r="183" spans="1:2" x14ac:dyDescent="0.25">
      <c r="A183" s="52">
        <v>33482</v>
      </c>
      <c r="B183" s="45">
        <v>3.2</v>
      </c>
    </row>
    <row r="184" spans="1:2" x14ac:dyDescent="0.25">
      <c r="A184" s="52">
        <v>33573</v>
      </c>
      <c r="B184" s="45">
        <v>1.8</v>
      </c>
    </row>
    <row r="185" spans="1:2" x14ac:dyDescent="0.25">
      <c r="A185" s="52">
        <v>33664</v>
      </c>
      <c r="B185" s="45">
        <v>1.6</v>
      </c>
    </row>
    <row r="186" spans="1:2" x14ac:dyDescent="0.25">
      <c r="A186" s="52">
        <v>33756</v>
      </c>
      <c r="B186" s="45">
        <v>1.2</v>
      </c>
    </row>
    <row r="187" spans="1:2" x14ac:dyDescent="0.25">
      <c r="A187" s="52">
        <v>33848</v>
      </c>
      <c r="B187" s="45">
        <v>0.7</v>
      </c>
    </row>
    <row r="188" spans="1:2" x14ac:dyDescent="0.25">
      <c r="A188" s="52">
        <v>33939</v>
      </c>
      <c r="B188" s="45">
        <v>0.9</v>
      </c>
    </row>
    <row r="189" spans="1:2" x14ac:dyDescent="0.25">
      <c r="A189" s="52">
        <v>34029</v>
      </c>
      <c r="B189" s="45">
        <v>1.5</v>
      </c>
    </row>
    <row r="190" spans="1:2" x14ac:dyDescent="0.25">
      <c r="A190" s="52">
        <v>34121</v>
      </c>
      <c r="B190" s="45">
        <v>2.4</v>
      </c>
    </row>
    <row r="191" spans="1:2" x14ac:dyDescent="0.25">
      <c r="A191" s="52">
        <v>34213</v>
      </c>
      <c r="B191" s="45">
        <v>2.8</v>
      </c>
    </row>
    <row r="192" spans="1:2" x14ac:dyDescent="0.25">
      <c r="A192" s="52">
        <v>34304</v>
      </c>
      <c r="B192" s="45">
        <v>1.9</v>
      </c>
    </row>
    <row r="193" spans="1:2" x14ac:dyDescent="0.25">
      <c r="A193" s="52">
        <v>34394</v>
      </c>
      <c r="B193" s="45">
        <v>1.5</v>
      </c>
    </row>
    <row r="194" spans="1:2" x14ac:dyDescent="0.25">
      <c r="A194" s="52">
        <v>34486</v>
      </c>
      <c r="B194" s="45">
        <v>1.7</v>
      </c>
    </row>
    <row r="195" spans="1:2" x14ac:dyDescent="0.25">
      <c r="A195" s="52">
        <v>34578</v>
      </c>
      <c r="B195" s="45">
        <v>2.5</v>
      </c>
    </row>
    <row r="196" spans="1:2" x14ac:dyDescent="0.25">
      <c r="A196" s="52">
        <v>34669</v>
      </c>
      <c r="B196" s="45">
        <v>3.2</v>
      </c>
    </row>
    <row r="197" spans="1:2" x14ac:dyDescent="0.25">
      <c r="A197" s="52">
        <v>34759</v>
      </c>
      <c r="B197" s="45">
        <v>4.5</v>
      </c>
    </row>
    <row r="198" spans="1:2" x14ac:dyDescent="0.25">
      <c r="A198" s="52">
        <v>34851</v>
      </c>
      <c r="B198" s="45">
        <v>4.8</v>
      </c>
    </row>
    <row r="199" spans="1:2" x14ac:dyDescent="0.25">
      <c r="A199" s="52">
        <v>34943</v>
      </c>
      <c r="B199" s="45">
        <v>4.8</v>
      </c>
    </row>
    <row r="200" spans="1:2" x14ac:dyDescent="0.25">
      <c r="A200" s="52">
        <v>35034</v>
      </c>
      <c r="B200" s="45">
        <v>4.4000000000000004</v>
      </c>
    </row>
    <row r="201" spans="1:2" x14ac:dyDescent="0.25">
      <c r="A201" s="52">
        <v>35125</v>
      </c>
      <c r="B201" s="45">
        <v>3.4</v>
      </c>
    </row>
    <row r="202" spans="1:2" x14ac:dyDescent="0.25">
      <c r="A202" s="52">
        <v>35217</v>
      </c>
      <c r="B202" s="45">
        <v>3</v>
      </c>
    </row>
    <row r="203" spans="1:2" x14ac:dyDescent="0.25">
      <c r="A203" s="52">
        <v>35309</v>
      </c>
      <c r="B203" s="45">
        <v>2.2000000000000002</v>
      </c>
    </row>
    <row r="204" spans="1:2" x14ac:dyDescent="0.25">
      <c r="A204" s="52">
        <v>35400</v>
      </c>
      <c r="B204" s="45">
        <v>1.7</v>
      </c>
    </row>
    <row r="205" spans="1:2" x14ac:dyDescent="0.25">
      <c r="A205" s="52">
        <v>35490</v>
      </c>
      <c r="B205" s="45">
        <v>1.5</v>
      </c>
    </row>
    <row r="206" spans="1:2" x14ac:dyDescent="0.25">
      <c r="A206" s="52">
        <v>35582</v>
      </c>
      <c r="B206" s="45">
        <v>0.6</v>
      </c>
    </row>
    <row r="207" spans="1:2" x14ac:dyDescent="0.25">
      <c r="A207" s="52">
        <v>35674</v>
      </c>
      <c r="B207" s="45">
        <v>0.2</v>
      </c>
    </row>
    <row r="208" spans="1:2" x14ac:dyDescent="0.25">
      <c r="A208" s="52">
        <v>35765</v>
      </c>
      <c r="B208" s="45">
        <v>0.6</v>
      </c>
    </row>
    <row r="209" spans="1:2" x14ac:dyDescent="0.25">
      <c r="A209" s="52">
        <v>35855</v>
      </c>
      <c r="B209" s="45">
        <v>0.3</v>
      </c>
    </row>
    <row r="210" spans="1:2" x14ac:dyDescent="0.25">
      <c r="A210" s="52">
        <v>35947</v>
      </c>
      <c r="B210" s="45">
        <v>1.1000000000000001</v>
      </c>
    </row>
    <row r="211" spans="1:2" x14ac:dyDescent="0.25">
      <c r="A211" s="52">
        <v>36039</v>
      </c>
      <c r="B211" s="45">
        <v>1.5</v>
      </c>
    </row>
    <row r="212" spans="1:2" x14ac:dyDescent="0.25">
      <c r="A212" s="52">
        <v>36130</v>
      </c>
      <c r="B212" s="45">
        <v>1.2</v>
      </c>
    </row>
    <row r="213" spans="1:2" x14ac:dyDescent="0.25">
      <c r="A213" s="52">
        <v>36220</v>
      </c>
      <c r="B213" s="45">
        <v>0.8</v>
      </c>
    </row>
    <row r="214" spans="1:2" x14ac:dyDescent="0.25">
      <c r="A214" s="52">
        <v>36312</v>
      </c>
      <c r="B214" s="45">
        <v>0.6</v>
      </c>
    </row>
    <row r="215" spans="1:2" x14ac:dyDescent="0.25">
      <c r="A215" s="52">
        <v>36404</v>
      </c>
      <c r="B215" s="45">
        <v>1.2</v>
      </c>
    </row>
    <row r="216" spans="1:2" x14ac:dyDescent="0.25">
      <c r="A216" s="52">
        <v>36495</v>
      </c>
      <c r="B216" s="45">
        <v>0.9</v>
      </c>
    </row>
    <row r="217" spans="1:2" x14ac:dyDescent="0.25">
      <c r="A217" s="52">
        <v>36586</v>
      </c>
      <c r="B217" s="45">
        <v>2.2999999999999998</v>
      </c>
    </row>
    <row r="218" spans="1:2" x14ac:dyDescent="0.25">
      <c r="A218" s="52">
        <v>36678</v>
      </c>
      <c r="B218" s="45">
        <v>2.6</v>
      </c>
    </row>
    <row r="219" spans="1:2" x14ac:dyDescent="0.25">
      <c r="A219" s="52">
        <v>36770</v>
      </c>
      <c r="B219" s="45">
        <v>5.8</v>
      </c>
    </row>
    <row r="220" spans="1:2" x14ac:dyDescent="0.25">
      <c r="A220" s="52">
        <v>36861</v>
      </c>
      <c r="B220" s="45">
        <v>6.1</v>
      </c>
    </row>
    <row r="221" spans="1:2" x14ac:dyDescent="0.25">
      <c r="A221" s="52">
        <v>36951</v>
      </c>
      <c r="B221" s="45">
        <v>5.7</v>
      </c>
    </row>
    <row r="222" spans="1:2" x14ac:dyDescent="0.25">
      <c r="A222" s="52">
        <v>37043</v>
      </c>
      <c r="B222" s="45">
        <v>6.1</v>
      </c>
    </row>
    <row r="223" spans="1:2" x14ac:dyDescent="0.25">
      <c r="A223" s="52">
        <v>37135</v>
      </c>
      <c r="B223" s="45">
        <v>2.2999999999999998</v>
      </c>
    </row>
    <row r="224" spans="1:2" x14ac:dyDescent="0.25">
      <c r="A224" s="52">
        <v>37226</v>
      </c>
      <c r="B224" s="45">
        <v>3.2</v>
      </c>
    </row>
    <row r="225" spans="1:2" x14ac:dyDescent="0.25">
      <c r="A225" s="52">
        <v>37316</v>
      </c>
      <c r="B225" s="45">
        <v>3.3</v>
      </c>
    </row>
    <row r="226" spans="1:2" x14ac:dyDescent="0.25">
      <c r="A226" s="52">
        <v>37408</v>
      </c>
      <c r="B226" s="45">
        <v>3</v>
      </c>
    </row>
    <row r="227" spans="1:2" x14ac:dyDescent="0.25">
      <c r="A227" s="52">
        <v>37500</v>
      </c>
      <c r="B227" s="45">
        <v>3.7</v>
      </c>
    </row>
    <row r="228" spans="1:2" x14ac:dyDescent="0.25">
      <c r="A228" s="52">
        <v>37591</v>
      </c>
      <c r="B228" s="45">
        <v>3</v>
      </c>
    </row>
    <row r="229" spans="1:2" x14ac:dyDescent="0.25">
      <c r="A229" s="52">
        <v>37681</v>
      </c>
      <c r="B229" s="45">
        <v>3.4</v>
      </c>
    </row>
    <row r="230" spans="1:2" x14ac:dyDescent="0.25">
      <c r="A230" s="52">
        <v>37773</v>
      </c>
      <c r="B230" s="45">
        <v>2.7</v>
      </c>
    </row>
    <row r="231" spans="1:2" x14ac:dyDescent="0.25">
      <c r="A231" s="52">
        <v>37865</v>
      </c>
      <c r="B231" s="45">
        <v>2.9</v>
      </c>
    </row>
    <row r="232" spans="1:2" x14ac:dyDescent="0.25">
      <c r="A232" s="52">
        <v>37956</v>
      </c>
      <c r="B232" s="45">
        <v>3</v>
      </c>
    </row>
    <row r="233" spans="1:2" x14ac:dyDescent="0.25">
      <c r="A233" s="52">
        <v>38047</v>
      </c>
      <c r="B233" s="45">
        <v>2.6</v>
      </c>
    </row>
    <row r="234" spans="1:2" x14ac:dyDescent="0.25">
      <c r="A234" s="52">
        <v>38139</v>
      </c>
      <c r="B234" s="45">
        <v>3.1</v>
      </c>
    </row>
    <row r="235" spans="1:2" x14ac:dyDescent="0.25">
      <c r="A235" s="52">
        <v>38231</v>
      </c>
      <c r="B235" s="45">
        <v>2.5</v>
      </c>
    </row>
    <row r="236" spans="1:2" x14ac:dyDescent="0.25">
      <c r="A236" s="52">
        <v>38322</v>
      </c>
      <c r="B236" s="45">
        <v>2.6</v>
      </c>
    </row>
    <row r="237" spans="1:2" x14ac:dyDescent="0.25">
      <c r="A237" s="52">
        <v>38412</v>
      </c>
      <c r="B237" s="45">
        <v>2.5</v>
      </c>
    </row>
    <row r="238" spans="1:2" x14ac:dyDescent="0.25">
      <c r="A238" s="52">
        <v>38504</v>
      </c>
      <c r="B238" s="45">
        <v>2.5</v>
      </c>
    </row>
    <row r="239" spans="1:2" x14ac:dyDescent="0.25">
      <c r="A239" s="52">
        <v>38596</v>
      </c>
      <c r="B239" s="45">
        <v>2.8</v>
      </c>
    </row>
    <row r="240" spans="1:2" x14ac:dyDescent="0.25">
      <c r="A240" s="52">
        <v>38687</v>
      </c>
      <c r="B240" s="45">
        <v>2.9</v>
      </c>
    </row>
    <row r="241" spans="1:2" x14ac:dyDescent="0.25">
      <c r="A241" s="52">
        <v>38777</v>
      </c>
      <c r="B241" s="45">
        <v>2.9</v>
      </c>
    </row>
    <row r="242" spans="1:2" x14ac:dyDescent="0.25">
      <c r="A242" s="52">
        <v>38869</v>
      </c>
      <c r="B242" s="45">
        <v>4.2</v>
      </c>
    </row>
    <row r="243" spans="1:2" x14ac:dyDescent="0.25">
      <c r="A243" s="52">
        <v>38961</v>
      </c>
      <c r="B243" s="45">
        <v>4.4000000000000004</v>
      </c>
    </row>
    <row r="244" spans="1:2" x14ac:dyDescent="0.25">
      <c r="A244" s="52">
        <v>39052</v>
      </c>
      <c r="B244" s="45">
        <v>3.4</v>
      </c>
    </row>
    <row r="245" spans="1:2" x14ac:dyDescent="0.25">
      <c r="A245" s="52">
        <v>39142</v>
      </c>
      <c r="B245" s="45">
        <v>3</v>
      </c>
    </row>
    <row r="246" spans="1:2" x14ac:dyDescent="0.25">
      <c r="A246" s="52">
        <v>39234</v>
      </c>
      <c r="B246" s="45">
        <v>2.6</v>
      </c>
    </row>
    <row r="247" spans="1:2" x14ac:dyDescent="0.25">
      <c r="A247" s="52">
        <v>39326</v>
      </c>
      <c r="B247" s="45">
        <v>2.7</v>
      </c>
    </row>
    <row r="248" spans="1:2" x14ac:dyDescent="0.25">
      <c r="A248" s="52">
        <v>39417</v>
      </c>
      <c r="B248" s="45">
        <v>3.9</v>
      </c>
    </row>
    <row r="249" spans="1:2" x14ac:dyDescent="0.25">
      <c r="A249" s="52">
        <v>39508</v>
      </c>
      <c r="B249" s="45">
        <v>4.8</v>
      </c>
    </row>
    <row r="250" spans="1:2" x14ac:dyDescent="0.25">
      <c r="A250" s="52">
        <v>39600</v>
      </c>
      <c r="B250" s="45">
        <v>5.0999999999999996</v>
      </c>
    </row>
    <row r="251" spans="1:2" x14ac:dyDescent="0.25">
      <c r="A251" s="52">
        <v>39692</v>
      </c>
      <c r="B251" s="45">
        <v>5.6</v>
      </c>
    </row>
    <row r="252" spans="1:2" x14ac:dyDescent="0.25">
      <c r="A252" s="52">
        <v>39783</v>
      </c>
      <c r="B252" s="45">
        <v>4.3</v>
      </c>
    </row>
    <row r="253" spans="1:2" x14ac:dyDescent="0.25">
      <c r="A253" s="52">
        <v>39873</v>
      </c>
      <c r="B253" s="45">
        <v>3.1</v>
      </c>
    </row>
    <row r="254" spans="1:2" x14ac:dyDescent="0.25">
      <c r="A254" s="52">
        <v>39965</v>
      </c>
      <c r="B254" s="45">
        <v>2</v>
      </c>
    </row>
    <row r="255" spans="1:2" x14ac:dyDescent="0.25">
      <c r="A255" s="52">
        <v>40057</v>
      </c>
      <c r="B255" s="45">
        <v>1.9</v>
      </c>
    </row>
    <row r="256" spans="1:2" x14ac:dyDescent="0.25">
      <c r="A256" s="52">
        <v>40148</v>
      </c>
      <c r="B256" s="45">
        <v>2.5</v>
      </c>
    </row>
    <row r="257" spans="1:2" x14ac:dyDescent="0.25">
      <c r="A257" s="52">
        <v>40238</v>
      </c>
      <c r="B257" s="45">
        <v>3</v>
      </c>
    </row>
    <row r="258" spans="1:2" x14ac:dyDescent="0.25">
      <c r="A258" s="52">
        <v>40330</v>
      </c>
      <c r="B258" s="45">
        <v>3.2</v>
      </c>
    </row>
    <row r="259" spans="1:2" x14ac:dyDescent="0.25">
      <c r="A259" s="52">
        <v>40422</v>
      </c>
      <c r="B259" s="45">
        <v>2.9</v>
      </c>
    </row>
    <row r="260" spans="1:2" x14ac:dyDescent="0.25">
      <c r="A260" s="52">
        <v>40513</v>
      </c>
      <c r="B260" s="45">
        <v>3.1</v>
      </c>
    </row>
    <row r="261" spans="1:2" x14ac:dyDescent="0.25">
      <c r="A261" s="52">
        <v>40603</v>
      </c>
      <c r="B261" s="45">
        <v>3.6</v>
      </c>
    </row>
    <row r="262" spans="1:2" x14ac:dyDescent="0.25">
      <c r="A262" s="52">
        <v>40695</v>
      </c>
      <c r="B262" s="45">
        <v>3.9</v>
      </c>
    </row>
    <row r="263" spans="1:2" x14ac:dyDescent="0.25">
      <c r="A263" s="52">
        <v>40787</v>
      </c>
      <c r="B263" s="45">
        <v>3.1</v>
      </c>
    </row>
    <row r="264" spans="1:2" x14ac:dyDescent="0.25">
      <c r="A264" s="52">
        <v>40878</v>
      </c>
      <c r="B264" s="45">
        <v>2.4</v>
      </c>
    </row>
    <row r="265" spans="1:2" x14ac:dyDescent="0.25">
      <c r="A265" s="52">
        <v>40969</v>
      </c>
      <c r="B265" s="45">
        <v>1.3</v>
      </c>
    </row>
    <row r="266" spans="1:2" x14ac:dyDescent="0.25">
      <c r="A266" s="52">
        <v>41061</v>
      </c>
      <c r="B266" s="45">
        <v>0.9</v>
      </c>
    </row>
    <row r="267" spans="1:2" x14ac:dyDescent="0.25">
      <c r="A267" s="52">
        <v>41153</v>
      </c>
      <c r="B267" s="45">
        <v>1.7</v>
      </c>
    </row>
    <row r="268" spans="1:2" x14ac:dyDescent="0.25">
      <c r="A268" s="52">
        <v>41244</v>
      </c>
      <c r="B268" s="45">
        <v>2.2000000000000002</v>
      </c>
    </row>
    <row r="269" spans="1:2" x14ac:dyDescent="0.25">
      <c r="A269" s="52">
        <v>41334</v>
      </c>
      <c r="B269" s="45">
        <v>2.1</v>
      </c>
    </row>
    <row r="270" spans="1:2" x14ac:dyDescent="0.25">
      <c r="A270" s="52">
        <v>41426</v>
      </c>
      <c r="B270" s="45">
        <v>2</v>
      </c>
    </row>
    <row r="271" spans="1:2" x14ac:dyDescent="0.25">
      <c r="A271" s="52">
        <v>41518</v>
      </c>
      <c r="B271" s="45">
        <v>2.2000000000000002</v>
      </c>
    </row>
    <row r="272" spans="1:2" x14ac:dyDescent="0.25">
      <c r="A272" s="52">
        <v>41609</v>
      </c>
      <c r="B272" s="45">
        <v>2.6</v>
      </c>
    </row>
    <row r="273" spans="1:2" x14ac:dyDescent="0.25">
      <c r="A273" s="52">
        <v>41699</v>
      </c>
      <c r="B273" s="45">
        <v>3.1</v>
      </c>
    </row>
    <row r="274" spans="1:2" x14ac:dyDescent="0.25">
      <c r="A274" s="52">
        <v>41791</v>
      </c>
      <c r="B274" s="45">
        <v>3.2</v>
      </c>
    </row>
    <row r="275" spans="1:2" x14ac:dyDescent="0.25">
      <c r="A275" s="52">
        <v>41883</v>
      </c>
      <c r="B275" s="45">
        <v>2.6</v>
      </c>
    </row>
    <row r="276" spans="1:2" x14ac:dyDescent="0.25">
      <c r="A276" s="52">
        <v>41974</v>
      </c>
      <c r="B276" s="45">
        <v>2</v>
      </c>
    </row>
    <row r="277" spans="1:2" x14ac:dyDescent="0.25">
      <c r="A277" s="52">
        <v>42064</v>
      </c>
      <c r="B277" s="45">
        <v>1.4</v>
      </c>
    </row>
    <row r="278" spans="1:2" x14ac:dyDescent="0.25">
      <c r="A278" s="52">
        <v>42156</v>
      </c>
      <c r="B278" s="45">
        <v>1.5</v>
      </c>
    </row>
    <row r="279" spans="1:2" x14ac:dyDescent="0.25">
      <c r="A279" s="52">
        <v>42248</v>
      </c>
      <c r="B279" s="45">
        <v>1.5</v>
      </c>
    </row>
    <row r="280" spans="1:2" x14ac:dyDescent="0.25">
      <c r="A280" s="52">
        <v>42339</v>
      </c>
      <c r="B280" s="45">
        <v>1.7</v>
      </c>
    </row>
    <row r="281" spans="1:2" x14ac:dyDescent="0.25">
      <c r="A281" s="52">
        <v>42430</v>
      </c>
      <c r="B281" s="45">
        <v>1.7</v>
      </c>
    </row>
    <row r="282" spans="1:2" x14ac:dyDescent="0.25">
      <c r="A282" s="52">
        <v>42522</v>
      </c>
      <c r="B282" s="45">
        <v>1.5</v>
      </c>
    </row>
    <row r="283" spans="1:2" x14ac:dyDescent="0.25">
      <c r="A283" s="52">
        <v>42614</v>
      </c>
      <c r="B283" s="45">
        <v>1.5</v>
      </c>
    </row>
    <row r="284" spans="1:2" x14ac:dyDescent="0.25">
      <c r="A284" s="52">
        <v>42705</v>
      </c>
      <c r="B284" s="45">
        <v>1.6</v>
      </c>
    </row>
    <row r="285" spans="1:2" x14ac:dyDescent="0.25">
      <c r="A285" s="52">
        <v>42795</v>
      </c>
      <c r="B285" s="45">
        <v>1.8</v>
      </c>
    </row>
    <row r="286" spans="1:2" x14ac:dyDescent="0.25">
      <c r="A286" s="52">
        <v>42887</v>
      </c>
      <c r="B286" s="45">
        <v>1.8</v>
      </c>
    </row>
    <row r="287" spans="1:2" x14ac:dyDescent="0.25">
      <c r="A287" s="52">
        <v>42979</v>
      </c>
      <c r="B287" s="45">
        <v>1.5</v>
      </c>
    </row>
    <row r="288" spans="1:2" x14ac:dyDescent="0.25">
      <c r="A288" s="52">
        <v>43070</v>
      </c>
      <c r="B288" s="45">
        <v>1.9</v>
      </c>
    </row>
    <row r="289" spans="1:2" x14ac:dyDescent="0.25">
      <c r="A289" s="52">
        <v>43160</v>
      </c>
      <c r="B289" s="45">
        <v>1.7</v>
      </c>
    </row>
    <row r="290" spans="1:2" x14ac:dyDescent="0.25">
      <c r="A290" s="52">
        <v>43252</v>
      </c>
      <c r="B290" s="45">
        <v>1.7</v>
      </c>
    </row>
    <row r="291" spans="1:2" x14ac:dyDescent="0.25">
      <c r="A291" s="52">
        <v>43344</v>
      </c>
      <c r="B291" s="45">
        <v>1.8</v>
      </c>
    </row>
    <row r="292" spans="1:2" x14ac:dyDescent="0.25">
      <c r="A292" s="52">
        <v>43435</v>
      </c>
      <c r="B292" s="45">
        <v>1.5</v>
      </c>
    </row>
    <row r="293" spans="1:2" x14ac:dyDescent="0.25">
      <c r="A293" s="52">
        <v>43525</v>
      </c>
      <c r="B293" s="45">
        <v>1.5</v>
      </c>
    </row>
    <row r="294" spans="1:2" x14ac:dyDescent="0.25">
      <c r="A294" s="52">
        <v>43617</v>
      </c>
      <c r="B294" s="45">
        <v>1.7</v>
      </c>
    </row>
  </sheetData>
  <sortState xmlns:xlrd2="http://schemas.microsoft.com/office/spreadsheetml/2017/richdata2" ref="D1:E174">
    <sortCondition descending="1" ref="D1:D174"/>
  </sortState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FDB1C-284D-470E-9AB0-71BEAFF8D6D0}">
  <dimension ref="A2:A18"/>
  <sheetViews>
    <sheetView workbookViewId="0"/>
  </sheetViews>
  <sheetFormatPr defaultRowHeight="15" x14ac:dyDescent="0.25"/>
  <sheetData>
    <row r="2" spans="1:1" x14ac:dyDescent="0.25">
      <c r="A2" s="79" t="s">
        <v>257</v>
      </c>
    </row>
    <row r="3" spans="1:1" x14ac:dyDescent="0.25">
      <c r="A3" s="48" t="s">
        <v>267</v>
      </c>
    </row>
    <row r="4" spans="1:1" x14ac:dyDescent="0.25">
      <c r="A4" s="48" t="s">
        <v>268</v>
      </c>
    </row>
    <row r="5" spans="1:1" x14ac:dyDescent="0.25">
      <c r="A5" s="48" t="s">
        <v>148</v>
      </c>
    </row>
    <row r="6" spans="1:1" x14ac:dyDescent="0.25">
      <c r="A6" s="48" t="s">
        <v>269</v>
      </c>
    </row>
    <row r="7" spans="1:1" x14ac:dyDescent="0.25">
      <c r="A7" s="48" t="s">
        <v>252</v>
      </c>
    </row>
    <row r="8" spans="1:1" x14ac:dyDescent="0.25">
      <c r="A8" s="48" t="s">
        <v>251</v>
      </c>
    </row>
    <row r="9" spans="1:1" x14ac:dyDescent="0.25">
      <c r="A9" s="48" t="s">
        <v>253</v>
      </c>
    </row>
    <row r="10" spans="1:1" x14ac:dyDescent="0.25">
      <c r="A10" s="48" t="s">
        <v>149</v>
      </c>
    </row>
    <row r="11" spans="1:1" x14ac:dyDescent="0.25">
      <c r="A11" s="48" t="s">
        <v>254</v>
      </c>
    </row>
    <row r="12" spans="1:1" x14ac:dyDescent="0.25">
      <c r="A12" s="48" t="s">
        <v>150</v>
      </c>
    </row>
    <row r="13" spans="1:1" x14ac:dyDescent="0.25">
      <c r="A13" s="48" t="s">
        <v>270</v>
      </c>
    </row>
    <row r="14" spans="1:1" x14ac:dyDescent="0.25">
      <c r="A14" s="48" t="s">
        <v>151</v>
      </c>
    </row>
    <row r="15" spans="1:1" x14ac:dyDescent="0.25">
      <c r="A15" s="48" t="s">
        <v>271</v>
      </c>
    </row>
    <row r="16" spans="1:1" x14ac:dyDescent="0.25">
      <c r="A16" s="48" t="s">
        <v>272</v>
      </c>
    </row>
    <row r="17" spans="1:1" x14ac:dyDescent="0.25">
      <c r="A17" s="48" t="s">
        <v>255</v>
      </c>
    </row>
    <row r="18" spans="1:1" x14ac:dyDescent="0.25">
      <c r="A18" s="48" t="s">
        <v>273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A23B-38AF-47D5-B97B-D38CCBD7CC3C}">
  <dimension ref="A1"/>
  <sheetViews>
    <sheetView zoomScale="70" zoomScaleNormal="70" workbookViewId="0">
      <selection activeCell="A36" sqref="A3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17773-79C8-4BA4-B846-B782CF96C7F6}">
  <dimension ref="A29"/>
  <sheetViews>
    <sheetView workbookViewId="0">
      <selection activeCell="A23" sqref="A23"/>
    </sheetView>
  </sheetViews>
  <sheetFormatPr defaultRowHeight="15" x14ac:dyDescent="0.25"/>
  <sheetData>
    <row r="29" spans="1:1" x14ac:dyDescent="0.25">
      <c r="A29" s="68" t="s">
        <v>124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63E4D-6FE3-4CA2-A9DB-28D48F47D9B9}">
  <sheetPr>
    <tabColor rgb="FFFF0000"/>
  </sheetPr>
  <dimension ref="A1:O75"/>
  <sheetViews>
    <sheetView zoomScale="115" zoomScaleNormal="115" workbookViewId="0"/>
  </sheetViews>
  <sheetFormatPr defaultRowHeight="15" x14ac:dyDescent="0.25"/>
  <cols>
    <col min="2" max="2" width="12.5703125" customWidth="1"/>
    <col min="3" max="3" width="15.5703125" customWidth="1"/>
    <col min="4" max="4" width="12.85546875" customWidth="1"/>
    <col min="5" max="5" width="11.28515625" customWidth="1"/>
    <col min="6" max="7" width="10" customWidth="1"/>
    <col min="8" max="8" width="9.140625" customWidth="1"/>
  </cols>
  <sheetData>
    <row r="1" spans="1:12" x14ac:dyDescent="0.25">
      <c r="A1" s="79" t="s">
        <v>415</v>
      </c>
      <c r="D1" s="153"/>
      <c r="H1" s="153" t="s">
        <v>410</v>
      </c>
    </row>
    <row r="2" spans="1:12" s="97" customFormat="1" x14ac:dyDescent="0.25">
      <c r="A2" s="151" t="s">
        <v>422</v>
      </c>
    </row>
    <row r="3" spans="1:12" s="48" customFormat="1" x14ac:dyDescent="0.25">
      <c r="A3" s="21" t="s">
        <v>469</v>
      </c>
    </row>
    <row r="4" spans="1:12" s="108" customFormat="1" x14ac:dyDescent="0.25">
      <c r="A4" s="108" t="s">
        <v>420</v>
      </c>
    </row>
    <row r="5" spans="1:12" x14ac:dyDescent="0.25">
      <c r="A5" s="155" t="s">
        <v>411</v>
      </c>
    </row>
    <row r="6" spans="1:12" x14ac:dyDescent="0.25">
      <c r="A6" s="12" t="s">
        <v>412</v>
      </c>
    </row>
    <row r="7" spans="1:12" x14ac:dyDescent="0.25">
      <c r="A7" t="s">
        <v>413</v>
      </c>
    </row>
    <row r="8" spans="1:12" x14ac:dyDescent="0.25">
      <c r="A8" t="s">
        <v>421</v>
      </c>
    </row>
    <row r="9" spans="1:12" s="48" customFormat="1" x14ac:dyDescent="0.25">
      <c r="A9" s="14"/>
      <c r="C9" s="102"/>
      <c r="D9" s="102"/>
      <c r="E9" s="143"/>
      <c r="F9" s="103"/>
    </row>
    <row r="10" spans="1:12" s="48" customFormat="1" x14ac:dyDescent="0.25">
      <c r="A10" s="79" t="s">
        <v>416</v>
      </c>
      <c r="D10" s="145" t="s">
        <v>154</v>
      </c>
      <c r="E10" s="145" t="s">
        <v>304</v>
      </c>
      <c r="F10" s="19"/>
      <c r="H10" s="19"/>
    </row>
    <row r="11" spans="1:12" s="48" customFormat="1" x14ac:dyDescent="0.25">
      <c r="A11" s="48" t="s">
        <v>433</v>
      </c>
      <c r="D11" s="131">
        <f>Rehab!$D$25</f>
        <v>72</v>
      </c>
      <c r="E11" s="32"/>
      <c r="F11" s="19"/>
      <c r="H11" s="19"/>
    </row>
    <row r="12" spans="1:12" s="48" customFormat="1" x14ac:dyDescent="0.25">
      <c r="A12" s="14" t="s">
        <v>414</v>
      </c>
      <c r="B12" s="14"/>
      <c r="C12" s="14"/>
      <c r="D12" s="131">
        <f>Rehab!$D$44</f>
        <v>117.30770250093917</v>
      </c>
      <c r="E12" s="25"/>
      <c r="F12" s="76"/>
      <c r="G12" s="14"/>
      <c r="H12" s="76"/>
    </row>
    <row r="13" spans="1:12" s="48" customFormat="1" x14ac:dyDescent="0.25">
      <c r="A13" s="14" t="s">
        <v>417</v>
      </c>
      <c r="B13" s="14"/>
      <c r="C13" s="14"/>
      <c r="D13" s="32"/>
      <c r="E13" s="146">
        <f>Rehab!$J$15</f>
        <v>3.1565625000000002</v>
      </c>
      <c r="F13" s="76"/>
      <c r="G13" s="14"/>
      <c r="H13" s="76"/>
    </row>
    <row r="14" spans="1:12" s="48" customFormat="1" x14ac:dyDescent="0.25">
      <c r="A14" s="48" t="s">
        <v>418</v>
      </c>
      <c r="D14" s="36">
        <f>Rehab!$I$44</f>
        <v>-370.28909467562085</v>
      </c>
      <c r="E14" s="156" t="s">
        <v>419</v>
      </c>
      <c r="H14" s="100"/>
    </row>
    <row r="15" spans="1:12" s="48" customFormat="1" x14ac:dyDescent="0.25">
      <c r="D15" s="128"/>
      <c r="E15" s="21"/>
      <c r="F15" s="21"/>
      <c r="G15" s="34"/>
      <c r="H15" s="21"/>
      <c r="L15" s="94"/>
    </row>
    <row r="16" spans="1:12" s="48" customFormat="1" x14ac:dyDescent="0.25">
      <c r="A16" s="79" t="s">
        <v>163</v>
      </c>
      <c r="D16" s="22"/>
      <c r="E16" s="22"/>
    </row>
    <row r="17" spans="1:12" s="48" customFormat="1" x14ac:dyDescent="0.25">
      <c r="A17" s="14" t="s">
        <v>423</v>
      </c>
      <c r="D17" s="22">
        <f>Estimates!$C$114</f>
        <v>12651313.035839299</v>
      </c>
      <c r="E17" s="22" t="s">
        <v>21</v>
      </c>
      <c r="I17" s="14"/>
    </row>
    <row r="18" spans="1:12" s="48" customFormat="1" x14ac:dyDescent="0.25">
      <c r="A18" s="14" t="s">
        <v>424</v>
      </c>
      <c r="D18" s="22">
        <f>Estimates!$D$114</f>
        <v>6474562.4723514775</v>
      </c>
      <c r="E18" s="22" t="s">
        <v>46</v>
      </c>
    </row>
    <row r="19" spans="1:12" s="48" customFormat="1" x14ac:dyDescent="0.25">
      <c r="A19" s="14" t="s">
        <v>425</v>
      </c>
      <c r="C19" s="102"/>
      <c r="D19" s="144">
        <f>D17*Estimates!$D$8/1000000</f>
        <v>253.02626071678597</v>
      </c>
      <c r="E19" s="129" t="s">
        <v>340</v>
      </c>
      <c r="F19" s="103"/>
    </row>
    <row r="20" spans="1:12" s="48" customFormat="1" x14ac:dyDescent="0.25">
      <c r="A20" s="14" t="s">
        <v>426</v>
      </c>
      <c r="C20" s="102"/>
      <c r="D20" s="144">
        <f>D17*Estimates!$D$7/1000000</f>
        <v>316.28282589598246</v>
      </c>
      <c r="E20" s="129" t="s">
        <v>340</v>
      </c>
      <c r="F20" s="103"/>
    </row>
    <row r="21" spans="1:12" s="48" customFormat="1" x14ac:dyDescent="0.25">
      <c r="A21" s="14" t="s">
        <v>427</v>
      </c>
      <c r="C21" s="102"/>
      <c r="D21" s="144">
        <f>D17*Estimates!$D$9/1000000</f>
        <v>63.256565179196492</v>
      </c>
      <c r="E21" s="129" t="s">
        <v>340</v>
      </c>
      <c r="F21" s="103"/>
    </row>
    <row r="22" spans="1:12" s="48" customFormat="1" x14ac:dyDescent="0.25">
      <c r="D22" s="36"/>
      <c r="E22" s="131"/>
      <c r="G22" s="25"/>
    </row>
    <row r="23" spans="1:12" s="48" customFormat="1" x14ac:dyDescent="0.25">
      <c r="A23" s="79" t="s">
        <v>364</v>
      </c>
      <c r="E23" s="131"/>
      <c r="F23" s="79" t="s">
        <v>356</v>
      </c>
    </row>
    <row r="24" spans="1:12" s="48" customFormat="1" x14ac:dyDescent="0.25">
      <c r="A24" s="57" t="s">
        <v>98</v>
      </c>
      <c r="B24" s="57" t="s">
        <v>336</v>
      </c>
      <c r="C24" s="57" t="s">
        <v>339</v>
      </c>
      <c r="D24" s="57" t="s">
        <v>434</v>
      </c>
      <c r="F24" s="48" t="s">
        <v>347</v>
      </c>
      <c r="J24" s="48">
        <v>2015</v>
      </c>
      <c r="K24" s="19" t="s">
        <v>357</v>
      </c>
      <c r="L24" s="48">
        <v>2023</v>
      </c>
    </row>
    <row r="25" spans="1:12" s="48" customFormat="1" x14ac:dyDescent="0.25">
      <c r="A25" s="48">
        <v>2020</v>
      </c>
      <c r="B25" s="142">
        <f>'Eden Cornwall'!$G$43</f>
        <v>2449.5678531371414</v>
      </c>
      <c r="C25" s="36">
        <f>Rehab!$I$44</f>
        <v>-370.28909467562085</v>
      </c>
      <c r="D25" s="142">
        <f>B25+C25</f>
        <v>2079.2787584615207</v>
      </c>
      <c r="F25" s="48" t="s">
        <v>351</v>
      </c>
      <c r="J25" s="48" t="s">
        <v>352</v>
      </c>
    </row>
    <row r="26" spans="1:12" s="48" customFormat="1" x14ac:dyDescent="0.25">
      <c r="A26" s="48">
        <v>2025</v>
      </c>
      <c r="B26" s="142">
        <f>'Eden Cornwall'!$G$48</f>
        <v>3700.1988538913301</v>
      </c>
      <c r="C26" s="36">
        <f>Rehab!$I$50</f>
        <v>-431.94165359768061</v>
      </c>
      <c r="D26" s="142">
        <f>B26+C26</f>
        <v>3268.2572002936495</v>
      </c>
      <c r="F26" s="48" t="s">
        <v>371</v>
      </c>
      <c r="J26" s="48" t="s">
        <v>349</v>
      </c>
    </row>
    <row r="27" spans="1:12" s="48" customFormat="1" x14ac:dyDescent="0.25">
      <c r="A27" s="48">
        <v>2030</v>
      </c>
      <c r="B27" s="142">
        <f>'Eden Cornwall'!$G$53</f>
        <v>5199.7558967639707</v>
      </c>
      <c r="C27" s="36">
        <f>Rehab!$I$54</f>
        <v>-478.64610553181518</v>
      </c>
      <c r="D27" s="142">
        <f>B27+C27</f>
        <v>4721.1097912321557</v>
      </c>
      <c r="F27" s="48" t="s">
        <v>353</v>
      </c>
      <c r="J27" s="48" t="s">
        <v>350</v>
      </c>
    </row>
    <row r="28" spans="1:12" s="48" customFormat="1" x14ac:dyDescent="0.25">
      <c r="A28" s="154" t="s">
        <v>365</v>
      </c>
      <c r="B28" s="142">
        <f>'Eden Cornwall'!$G$55</f>
        <v>5878.8933503599064</v>
      </c>
      <c r="C28" s="36">
        <f>Rehab!$I$56</f>
        <v>-503.85926778680908</v>
      </c>
      <c r="D28" s="142">
        <f>B28+C28</f>
        <v>5375.0340825730973</v>
      </c>
      <c r="F28" s="48" t="s">
        <v>354</v>
      </c>
      <c r="J28" s="48" t="s">
        <v>369</v>
      </c>
    </row>
    <row r="29" spans="1:12" s="48" customFormat="1" x14ac:dyDescent="0.25">
      <c r="A29" s="48">
        <v>2035</v>
      </c>
      <c r="B29" s="142">
        <f>'Eden Cornwall'!$G$58</f>
        <v>6992.2714800854592</v>
      </c>
      <c r="C29" s="36">
        <f>Rehab!$I$59</f>
        <v>-544.19097309974245</v>
      </c>
      <c r="D29" s="142">
        <f>B29+C29</f>
        <v>6448.080506985717</v>
      </c>
      <c r="F29" s="48" t="s">
        <v>355</v>
      </c>
      <c r="J29" s="48" t="s">
        <v>368</v>
      </c>
    </row>
    <row r="30" spans="1:12" s="48" customFormat="1" x14ac:dyDescent="0.25">
      <c r="F30" s="48" t="s">
        <v>348</v>
      </c>
      <c r="J30" s="48">
        <v>80</v>
      </c>
      <c r="K30" s="48" t="s">
        <v>300</v>
      </c>
    </row>
    <row r="31" spans="1:12" s="48" customFormat="1" x14ac:dyDescent="0.25">
      <c r="A31" s="79" t="s">
        <v>358</v>
      </c>
      <c r="C31" s="48" t="s">
        <v>363</v>
      </c>
      <c r="F31" s="48" t="s">
        <v>370</v>
      </c>
      <c r="J31" s="148">
        <v>43</v>
      </c>
      <c r="K31" s="48" t="s">
        <v>300</v>
      </c>
    </row>
    <row r="32" spans="1:12" s="48" customFormat="1" x14ac:dyDescent="0.25">
      <c r="A32" s="48" t="s">
        <v>359</v>
      </c>
      <c r="C32" s="48" t="s">
        <v>361</v>
      </c>
      <c r="F32"/>
    </row>
    <row r="33" spans="1:12" s="48" customFormat="1" x14ac:dyDescent="0.25">
      <c r="A33" s="48" t="s">
        <v>360</v>
      </c>
      <c r="C33" s="48" t="s">
        <v>362</v>
      </c>
      <c r="D33" s="152" t="s">
        <v>366</v>
      </c>
    </row>
    <row r="34" spans="1:12" s="48" customFormat="1" x14ac:dyDescent="0.25">
      <c r="D34" s="21"/>
    </row>
    <row r="35" spans="1:12" s="48" customFormat="1" x14ac:dyDescent="0.25">
      <c r="A35" s="79" t="s">
        <v>398</v>
      </c>
    </row>
    <row r="36" spans="1:12" s="14" customFormat="1" x14ac:dyDescent="0.25">
      <c r="A36" s="14" t="s">
        <v>399</v>
      </c>
      <c r="D36" s="147">
        <f>Rehab!$J$10</f>
        <v>30</v>
      </c>
      <c r="F36" s="76" t="s">
        <v>428</v>
      </c>
      <c r="G36" s="147">
        <f>Rehab!$J$11</f>
        <v>8.85</v>
      </c>
    </row>
    <row r="37" spans="1:12" s="14" customFormat="1" x14ac:dyDescent="0.25">
      <c r="A37" s="14" t="s">
        <v>397</v>
      </c>
      <c r="D37" s="147">
        <f>Rehab!$J$12</f>
        <v>38.85</v>
      </c>
      <c r="F37" s="157" t="s">
        <v>367</v>
      </c>
      <c r="G37" s="147">
        <v>12</v>
      </c>
    </row>
    <row r="38" spans="1:12" s="14" customFormat="1" x14ac:dyDescent="0.25">
      <c r="A38" s="48" t="s">
        <v>296</v>
      </c>
      <c r="B38" s="48"/>
      <c r="C38" s="48"/>
      <c r="D38" s="104">
        <f>HoleSize!$C$57</f>
        <v>13433984.611843999</v>
      </c>
      <c r="E38" s="39" t="s">
        <v>345</v>
      </c>
      <c r="F38" s="48"/>
      <c r="G38" s="48"/>
    </row>
    <row r="39" spans="1:12" s="48" customFormat="1" x14ac:dyDescent="0.25">
      <c r="A39" s="48" t="s">
        <v>297</v>
      </c>
      <c r="D39" s="104">
        <f>HoleSize!$C$58</f>
        <v>42048371.83507172</v>
      </c>
      <c r="E39" s="48" t="s">
        <v>21</v>
      </c>
    </row>
    <row r="40" spans="1:12" s="48" customFormat="1" x14ac:dyDescent="0.25">
      <c r="A40" s="48" t="s">
        <v>298</v>
      </c>
      <c r="D40" s="104">
        <f>HoleSize!$C$60</f>
        <v>21519095.254034653</v>
      </c>
      <c r="E40" s="39" t="s">
        <v>346</v>
      </c>
    </row>
    <row r="41" spans="1:12" s="48" customFormat="1" x14ac:dyDescent="0.25">
      <c r="A41" s="48" t="s">
        <v>445</v>
      </c>
      <c r="D41" s="104">
        <f>HoleSize!$C$61</f>
        <v>8409674.3670143448</v>
      </c>
      <c r="E41" s="48" t="s">
        <v>446</v>
      </c>
      <c r="F41" s="170">
        <f>D42/5</f>
        <v>1030078.8</v>
      </c>
      <c r="G41" s="48" t="s">
        <v>447</v>
      </c>
    </row>
    <row r="42" spans="1:12" s="48" customFormat="1" x14ac:dyDescent="0.25">
      <c r="A42" s="48" t="s">
        <v>400</v>
      </c>
      <c r="D42" s="104">
        <f>Estimates!$C$37</f>
        <v>5150394</v>
      </c>
      <c r="E42" s="22" t="s">
        <v>21</v>
      </c>
      <c r="F42" s="104">
        <f>Estimates!$D$37</f>
        <v>2635817.1373799997</v>
      </c>
      <c r="G42" s="58" t="s">
        <v>76</v>
      </c>
      <c r="L42" s="94"/>
    </row>
    <row r="44" spans="1:12" x14ac:dyDescent="0.25">
      <c r="A44" s="79" t="s">
        <v>291</v>
      </c>
    </row>
    <row r="45" spans="1:12" x14ac:dyDescent="0.25">
      <c r="A45" t="s">
        <v>290</v>
      </c>
    </row>
    <row r="46" spans="1:12" x14ac:dyDescent="0.25">
      <c r="A46" t="s">
        <v>289</v>
      </c>
    </row>
    <row r="47" spans="1:12" x14ac:dyDescent="0.25">
      <c r="A47" s="39" t="s">
        <v>401</v>
      </c>
    </row>
    <row r="48" spans="1:12" x14ac:dyDescent="0.25">
      <c r="A48" s="39" t="s">
        <v>402</v>
      </c>
    </row>
    <row r="49" spans="1:15" s="48" customFormat="1" x14ac:dyDescent="0.25">
      <c r="A49" s="39" t="s">
        <v>403</v>
      </c>
    </row>
    <row r="50" spans="1:15" x14ac:dyDescent="0.25">
      <c r="A50" s="39" t="s">
        <v>404</v>
      </c>
    </row>
    <row r="51" spans="1:15" x14ac:dyDescent="0.25">
      <c r="A51" t="s">
        <v>405</v>
      </c>
    </row>
    <row r="52" spans="1:15" x14ac:dyDescent="0.25">
      <c r="A52" t="s">
        <v>406</v>
      </c>
    </row>
    <row r="53" spans="1:15" x14ac:dyDescent="0.25">
      <c r="A53" t="s">
        <v>407</v>
      </c>
    </row>
    <row r="54" spans="1:15" x14ac:dyDescent="0.25">
      <c r="A54" t="s">
        <v>408</v>
      </c>
    </row>
    <row r="55" spans="1:15" x14ac:dyDescent="0.25">
      <c r="A55" s="108" t="s">
        <v>409</v>
      </c>
    </row>
    <row r="56" spans="1:15" s="48" customFormat="1" x14ac:dyDescent="0.25"/>
    <row r="57" spans="1:15" s="14" customFormat="1" x14ac:dyDescent="0.25">
      <c r="A57" s="79" t="s">
        <v>372</v>
      </c>
      <c r="C57" s="57" t="s">
        <v>395</v>
      </c>
      <c r="D57" s="57" t="s">
        <v>384</v>
      </c>
      <c r="E57" s="57" t="s">
        <v>374</v>
      </c>
      <c r="O57" s="79"/>
    </row>
    <row r="58" spans="1:15" x14ac:dyDescent="0.25">
      <c r="A58" t="s">
        <v>373</v>
      </c>
      <c r="C58" t="s">
        <v>396</v>
      </c>
      <c r="D58">
        <v>779</v>
      </c>
      <c r="E58">
        <v>340</v>
      </c>
      <c r="O58" s="14"/>
    </row>
    <row r="59" spans="1:15" x14ac:dyDescent="0.25">
      <c r="A59" t="s">
        <v>385</v>
      </c>
    </row>
    <row r="60" spans="1:15" x14ac:dyDescent="0.25">
      <c r="A60" t="s">
        <v>386</v>
      </c>
    </row>
    <row r="61" spans="1:15" s="48" customFormat="1" x14ac:dyDescent="0.25"/>
    <row r="62" spans="1:15" s="12" customFormat="1" x14ac:dyDescent="0.25">
      <c r="A62" s="159" t="s">
        <v>430</v>
      </c>
      <c r="C62" s="160"/>
      <c r="D62" s="160"/>
      <c r="O62" s="103"/>
    </row>
    <row r="63" spans="1:15" s="76" customFormat="1" x14ac:dyDescent="0.25">
      <c r="B63" s="150" t="s">
        <v>389</v>
      </c>
      <c r="C63" s="150" t="s">
        <v>390</v>
      </c>
      <c r="D63" s="150" t="s">
        <v>391</v>
      </c>
      <c r="E63" s="161" t="s">
        <v>392</v>
      </c>
      <c r="F63" s="161" t="s">
        <v>393</v>
      </c>
      <c r="G63" s="161" t="s">
        <v>394</v>
      </c>
      <c r="H63" s="76" t="s">
        <v>388</v>
      </c>
      <c r="J63" s="164" t="s">
        <v>429</v>
      </c>
      <c r="K63" s="164" t="s">
        <v>432</v>
      </c>
      <c r="L63" s="164" t="s">
        <v>431</v>
      </c>
      <c r="O63" s="162"/>
    </row>
    <row r="64" spans="1:15" s="48" customFormat="1" x14ac:dyDescent="0.25">
      <c r="A64" s="48" t="s">
        <v>387</v>
      </c>
      <c r="B64" s="32">
        <v>105</v>
      </c>
      <c r="C64" s="32">
        <v>111</v>
      </c>
      <c r="D64" s="32">
        <v>48</v>
      </c>
      <c r="E64" s="32">
        <v>29</v>
      </c>
      <c r="F64" s="32">
        <v>7</v>
      </c>
      <c r="G64" s="32">
        <v>1</v>
      </c>
      <c r="H64" s="32">
        <v>2</v>
      </c>
      <c r="J64" s="34">
        <f>SUM(B64:H64)</f>
        <v>303</v>
      </c>
      <c r="K64" s="34">
        <f>SUM(C64:H64)</f>
        <v>198</v>
      </c>
      <c r="L64" s="34">
        <f>SUM(D64:H64)</f>
        <v>87</v>
      </c>
      <c r="O64" s="103"/>
    </row>
    <row r="65" spans="1:15" s="48" customFormat="1" x14ac:dyDescent="0.25">
      <c r="A65" s="48" t="s">
        <v>55</v>
      </c>
      <c r="B65" s="158">
        <v>0.34</v>
      </c>
      <c r="C65" s="158">
        <v>0.15</v>
      </c>
      <c r="D65" s="158">
        <v>0.09</v>
      </c>
      <c r="E65" s="158">
        <v>0.02</v>
      </c>
      <c r="F65" s="163">
        <v>3.0000000000000001E-3</v>
      </c>
      <c r="G65" s="163">
        <v>3.0000000000000001E-3</v>
      </c>
      <c r="H65" s="163">
        <v>6.0000000000000001E-3</v>
      </c>
      <c r="J65" s="149">
        <f>SUM(B65:H65)</f>
        <v>0.61199999999999999</v>
      </c>
      <c r="K65" s="149">
        <f>SUM(C65:H65)</f>
        <v>0.27200000000000002</v>
      </c>
      <c r="L65" s="149">
        <f>SUM(D65:H65)</f>
        <v>0.12200000000000001</v>
      </c>
      <c r="O65" s="103"/>
    </row>
    <row r="66" spans="1:15" s="48" customFormat="1" x14ac:dyDescent="0.25">
      <c r="B66" s="12"/>
      <c r="C66" s="21"/>
    </row>
    <row r="67" spans="1:15" x14ac:dyDescent="0.25">
      <c r="A67" s="14"/>
      <c r="C67" s="21"/>
      <c r="O67" s="108"/>
    </row>
    <row r="69" spans="1:15" x14ac:dyDescent="0.25">
      <c r="D69" s="24"/>
    </row>
    <row r="70" spans="1:15" s="48" customFormat="1" x14ac:dyDescent="0.25">
      <c r="D70" s="24"/>
    </row>
    <row r="71" spans="1:15" s="48" customFormat="1" x14ac:dyDescent="0.25">
      <c r="D71" s="24"/>
    </row>
    <row r="72" spans="1:15" s="48" customFormat="1" x14ac:dyDescent="0.25">
      <c r="D72" s="24"/>
    </row>
    <row r="73" spans="1:15" s="48" customFormat="1" x14ac:dyDescent="0.25">
      <c r="D73" s="24"/>
    </row>
    <row r="74" spans="1:15" s="48" customFormat="1" x14ac:dyDescent="0.25">
      <c r="D74" s="24"/>
    </row>
    <row r="75" spans="1:15" s="48" customFormat="1" x14ac:dyDescent="0.25"/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80B2E-79BB-4F92-A83D-1B9BACA74851}">
  <sheetPr>
    <tabColor theme="5" tint="-0.249977111117893"/>
  </sheetPr>
  <dimension ref="A1:X113"/>
  <sheetViews>
    <sheetView workbookViewId="0"/>
  </sheetViews>
  <sheetFormatPr defaultRowHeight="15" x14ac:dyDescent="0.25"/>
  <cols>
    <col min="2" max="2" width="12.5703125" customWidth="1"/>
    <col min="3" max="3" width="12.140625" customWidth="1"/>
    <col min="4" max="4" width="11" customWidth="1"/>
    <col min="5" max="5" width="10.85546875" customWidth="1"/>
    <col min="11" max="11" width="11.42578125" customWidth="1"/>
    <col min="12" max="12" width="10.140625" customWidth="1"/>
    <col min="13" max="13" width="11.42578125" customWidth="1"/>
  </cols>
  <sheetData>
    <row r="1" spans="1:24" x14ac:dyDescent="0.25">
      <c r="A1" s="12" t="s">
        <v>166</v>
      </c>
      <c r="P1" s="107" t="s">
        <v>171</v>
      </c>
      <c r="Q1" s="53"/>
      <c r="R1" s="53"/>
      <c r="S1" s="53"/>
      <c r="T1" s="53"/>
      <c r="U1" s="53"/>
      <c r="V1" s="53"/>
      <c r="W1" s="53"/>
      <c r="X1" s="53"/>
    </row>
    <row r="2" spans="1:24" s="48" customFormat="1" x14ac:dyDescent="0.25">
      <c r="A2" s="12"/>
      <c r="P2" s="53" t="s">
        <v>258</v>
      </c>
      <c r="Q2" s="53"/>
      <c r="R2" s="53"/>
      <c r="S2" s="53"/>
      <c r="T2" s="53"/>
      <c r="U2" s="53"/>
      <c r="V2" s="53"/>
      <c r="W2" s="53"/>
      <c r="X2" s="53"/>
    </row>
    <row r="3" spans="1:24" x14ac:dyDescent="0.25">
      <c r="A3" s="14" t="s">
        <v>75</v>
      </c>
      <c r="B3" s="48"/>
      <c r="D3" s="60">
        <v>2016</v>
      </c>
      <c r="E3" s="58" t="s">
        <v>91</v>
      </c>
      <c r="P3" s="53" t="s">
        <v>172</v>
      </c>
      <c r="Q3" s="53"/>
      <c r="R3" s="53"/>
      <c r="S3" s="53"/>
      <c r="T3" s="53"/>
      <c r="U3" s="53"/>
      <c r="V3" s="53"/>
      <c r="W3" s="53"/>
      <c r="X3" s="53"/>
    </row>
    <row r="4" spans="1:24" x14ac:dyDescent="0.25">
      <c r="A4" t="s">
        <v>74</v>
      </c>
      <c r="D4" s="55">
        <v>5</v>
      </c>
      <c r="E4" t="s">
        <v>73</v>
      </c>
      <c r="P4" s="53" t="s">
        <v>173</v>
      </c>
      <c r="Q4" s="53"/>
      <c r="R4" s="53"/>
      <c r="S4" s="53"/>
      <c r="T4" s="53"/>
      <c r="U4" s="53"/>
      <c r="V4" s="53"/>
      <c r="W4" s="53"/>
      <c r="X4" s="53"/>
    </row>
    <row r="5" spans="1:24" x14ac:dyDescent="0.25">
      <c r="A5" t="s">
        <v>84</v>
      </c>
      <c r="D5" s="55">
        <v>20</v>
      </c>
      <c r="E5" t="s">
        <v>73</v>
      </c>
      <c r="F5" t="s">
        <v>152</v>
      </c>
      <c r="P5" s="53" t="s">
        <v>174</v>
      </c>
      <c r="Q5" s="53"/>
      <c r="R5" s="53"/>
      <c r="S5" s="53"/>
      <c r="T5" s="53"/>
      <c r="U5" s="53"/>
      <c r="V5" s="53"/>
      <c r="W5" s="53"/>
      <c r="X5" s="53"/>
    </row>
    <row r="6" spans="1:24" s="48" customFormat="1" x14ac:dyDescent="0.25">
      <c r="A6" s="48" t="s">
        <v>159</v>
      </c>
      <c r="D6" s="55">
        <v>1</v>
      </c>
      <c r="E6" s="48" t="s">
        <v>160</v>
      </c>
      <c r="P6" s="53"/>
      <c r="Q6" s="53"/>
      <c r="R6" s="53"/>
      <c r="S6" s="53"/>
      <c r="T6" s="53"/>
      <c r="U6" s="53"/>
      <c r="V6" s="53"/>
      <c r="W6" s="53"/>
      <c r="X6" s="53"/>
    </row>
    <row r="7" spans="1:24" s="48" customFormat="1" x14ac:dyDescent="0.25">
      <c r="A7" s="48" t="s">
        <v>92</v>
      </c>
      <c r="D7" s="55">
        <v>10000</v>
      </c>
      <c r="E7" s="48" t="s">
        <v>82</v>
      </c>
      <c r="P7" s="105" t="s">
        <v>175</v>
      </c>
      <c r="Q7" s="53"/>
      <c r="R7" s="53"/>
      <c r="S7" s="53"/>
      <c r="T7" s="53"/>
      <c r="U7" s="53"/>
      <c r="V7" s="53"/>
      <c r="W7" s="53"/>
      <c r="X7" s="53"/>
    </row>
    <row r="8" spans="1:24" x14ac:dyDescent="0.25">
      <c r="A8" s="48" t="s">
        <v>169</v>
      </c>
      <c r="B8" s="17" t="s">
        <v>170</v>
      </c>
      <c r="C8" s="55"/>
      <c r="D8" s="48"/>
      <c r="E8" s="48"/>
      <c r="P8" s="53"/>
      <c r="Q8" s="53" t="s">
        <v>176</v>
      </c>
      <c r="R8" s="53"/>
      <c r="S8" s="53"/>
      <c r="T8" s="53"/>
      <c r="U8" s="53"/>
      <c r="V8" s="53"/>
      <c r="W8" s="53"/>
      <c r="X8" s="53"/>
    </row>
    <row r="9" spans="1:24" s="48" customFormat="1" x14ac:dyDescent="0.25">
      <c r="B9" s="17"/>
      <c r="C9" s="55"/>
      <c r="P9" s="108"/>
      <c r="Q9" s="53" t="s">
        <v>177</v>
      </c>
      <c r="R9" s="108"/>
      <c r="S9" s="108"/>
      <c r="T9" s="108"/>
      <c r="U9" s="108"/>
      <c r="V9" s="108"/>
      <c r="W9" s="108"/>
      <c r="X9" s="108"/>
    </row>
    <row r="10" spans="1:24" s="12" customFormat="1" x14ac:dyDescent="0.25">
      <c r="A10" s="12" t="s">
        <v>168</v>
      </c>
      <c r="C10" s="56"/>
      <c r="P10" s="108"/>
      <c r="Q10" s="53" t="s">
        <v>178</v>
      </c>
      <c r="R10" s="108"/>
      <c r="S10" s="108"/>
      <c r="T10" s="108"/>
      <c r="U10" s="108"/>
      <c r="V10" s="108"/>
      <c r="W10" s="108"/>
      <c r="X10" s="108"/>
    </row>
    <row r="11" spans="1:24" s="12" customFormat="1" x14ac:dyDescent="0.25">
      <c r="A11" s="14" t="s">
        <v>93</v>
      </c>
      <c r="C11" s="56"/>
      <c r="P11" s="53"/>
      <c r="Q11" s="53" t="s">
        <v>179</v>
      </c>
      <c r="R11" s="53"/>
      <c r="S11" s="53"/>
      <c r="T11" s="53"/>
      <c r="U11" s="53"/>
      <c r="V11" s="53"/>
      <c r="W11" s="53"/>
      <c r="X11" s="53"/>
    </row>
    <row r="12" spans="1:24" x14ac:dyDescent="0.25">
      <c r="A12" s="57" t="s">
        <v>69</v>
      </c>
      <c r="B12" s="57" t="s">
        <v>70</v>
      </c>
      <c r="C12" s="59" t="s">
        <v>78</v>
      </c>
      <c r="D12" s="57" t="s">
        <v>31</v>
      </c>
      <c r="E12" s="57" t="s">
        <v>71</v>
      </c>
      <c r="F12" s="57" t="s">
        <v>79</v>
      </c>
      <c r="P12" s="105"/>
      <c r="Q12" s="105"/>
      <c r="R12" s="105"/>
      <c r="S12" s="105"/>
      <c r="T12" s="105"/>
      <c r="U12" s="105"/>
      <c r="V12" s="105"/>
      <c r="W12" s="105"/>
      <c r="X12" s="105"/>
    </row>
    <row r="13" spans="1:24" s="35" customFormat="1" x14ac:dyDescent="0.25">
      <c r="A13" s="57"/>
      <c r="B13" s="57" t="s">
        <v>80</v>
      </c>
      <c r="C13" s="59" t="s">
        <v>46</v>
      </c>
      <c r="D13" s="57"/>
      <c r="E13" s="35">
        <v>2.5</v>
      </c>
      <c r="F13" s="57" t="s">
        <v>81</v>
      </c>
      <c r="G13" s="35" t="s">
        <v>70</v>
      </c>
      <c r="H13" s="35" t="s">
        <v>17</v>
      </c>
      <c r="P13" s="105" t="s">
        <v>180</v>
      </c>
      <c r="Q13" s="53"/>
      <c r="R13" s="53"/>
      <c r="S13" s="53"/>
      <c r="T13" s="53"/>
      <c r="U13" s="53"/>
      <c r="V13" s="53"/>
      <c r="W13" s="53"/>
      <c r="X13" s="53"/>
    </row>
    <row r="14" spans="1:24" s="48" customFormat="1" x14ac:dyDescent="0.25">
      <c r="A14" s="40">
        <v>22</v>
      </c>
      <c r="B14" s="40"/>
      <c r="C14" s="66"/>
      <c r="D14" s="40"/>
      <c r="E14" s="14"/>
      <c r="F14" s="40">
        <v>452</v>
      </c>
      <c r="G14" s="14">
        <f t="shared" ref="G14:G35" si="0">F14*$D$4</f>
        <v>2260</v>
      </c>
      <c r="P14" s="53"/>
      <c r="Q14" s="53" t="s">
        <v>181</v>
      </c>
      <c r="R14" s="53"/>
      <c r="S14" s="53"/>
      <c r="T14" s="53"/>
      <c r="U14" s="53"/>
      <c r="V14" s="53"/>
      <c r="W14" s="53"/>
      <c r="X14" s="53"/>
    </row>
    <row r="15" spans="1:24" x14ac:dyDescent="0.25">
      <c r="A15" s="48">
        <v>21</v>
      </c>
      <c r="B15" s="57"/>
      <c r="C15" s="59"/>
      <c r="D15" s="48"/>
      <c r="F15">
        <v>498</v>
      </c>
      <c r="G15" s="14">
        <f t="shared" si="0"/>
        <v>2490</v>
      </c>
      <c r="P15" s="53"/>
      <c r="Q15" s="53" t="s">
        <v>182</v>
      </c>
      <c r="R15" s="53"/>
      <c r="S15" s="53"/>
      <c r="T15" s="53"/>
      <c r="U15" s="53"/>
      <c r="V15" s="53"/>
      <c r="W15" s="53"/>
      <c r="X15" s="53"/>
    </row>
    <row r="16" spans="1:24" x14ac:dyDescent="0.25">
      <c r="A16" s="14">
        <v>20</v>
      </c>
      <c r="B16" s="27">
        <v>136594</v>
      </c>
      <c r="C16" s="22">
        <f t="shared" ref="C16:C35" si="1">B16*$D$4</f>
        <v>682970</v>
      </c>
      <c r="D16" s="48"/>
      <c r="E16" s="48"/>
      <c r="F16">
        <v>555</v>
      </c>
      <c r="G16" s="14">
        <f t="shared" si="0"/>
        <v>2775</v>
      </c>
      <c r="P16" s="53"/>
      <c r="Q16" s="53" t="s">
        <v>183</v>
      </c>
      <c r="R16" s="53"/>
      <c r="S16" s="53"/>
      <c r="T16" s="53"/>
      <c r="U16" s="53"/>
      <c r="V16" s="53"/>
      <c r="W16" s="53"/>
      <c r="X16" s="53"/>
    </row>
    <row r="17" spans="1:24" x14ac:dyDescent="0.25">
      <c r="A17" s="48">
        <v>19</v>
      </c>
      <c r="B17" s="27">
        <v>133602</v>
      </c>
      <c r="C17" s="22">
        <f t="shared" si="1"/>
        <v>668010</v>
      </c>
      <c r="D17" s="48"/>
      <c r="E17" s="48"/>
      <c r="F17">
        <v>561</v>
      </c>
      <c r="G17" s="14">
        <f t="shared" si="0"/>
        <v>2805</v>
      </c>
      <c r="P17" s="53"/>
      <c r="Q17" s="53" t="s">
        <v>184</v>
      </c>
      <c r="R17" s="53"/>
      <c r="S17" s="53"/>
      <c r="T17" s="53"/>
      <c r="U17" s="53"/>
      <c r="V17" s="53"/>
      <c r="W17" s="53"/>
      <c r="X17" s="53"/>
    </row>
    <row r="18" spans="1:24" x14ac:dyDescent="0.25">
      <c r="A18" s="48">
        <v>18</v>
      </c>
      <c r="B18" s="27">
        <v>127141</v>
      </c>
      <c r="C18" s="22">
        <f t="shared" si="1"/>
        <v>635705</v>
      </c>
      <c r="D18" s="48"/>
      <c r="E18" s="48"/>
      <c r="F18">
        <v>587</v>
      </c>
      <c r="G18" s="14">
        <f t="shared" si="0"/>
        <v>2935</v>
      </c>
      <c r="P18" s="53"/>
      <c r="Q18" s="53" t="s">
        <v>185</v>
      </c>
      <c r="R18" s="53"/>
      <c r="S18" s="53"/>
      <c r="T18" s="53"/>
      <c r="U18" s="53"/>
      <c r="V18" s="53"/>
      <c r="W18" s="53"/>
      <c r="X18" s="53"/>
    </row>
    <row r="19" spans="1:24" x14ac:dyDescent="0.25">
      <c r="A19" s="48">
        <v>17</v>
      </c>
      <c r="B19" s="22">
        <v>121110</v>
      </c>
      <c r="C19" s="22">
        <f t="shared" si="1"/>
        <v>605550</v>
      </c>
      <c r="D19" s="48"/>
      <c r="E19" s="48"/>
      <c r="F19">
        <v>586</v>
      </c>
      <c r="G19" s="14">
        <f t="shared" si="0"/>
        <v>2930</v>
      </c>
      <c r="P19" s="53"/>
      <c r="Q19" s="53"/>
      <c r="R19" s="53"/>
      <c r="S19" s="53"/>
      <c r="T19" s="53"/>
      <c r="U19" s="53"/>
      <c r="V19" s="53"/>
      <c r="W19" s="53"/>
      <c r="X19" s="53"/>
    </row>
    <row r="20" spans="1:24" x14ac:dyDescent="0.25">
      <c r="A20" s="48">
        <v>16</v>
      </c>
      <c r="B20" s="22">
        <v>131385</v>
      </c>
      <c r="C20" s="22">
        <f t="shared" si="1"/>
        <v>656925</v>
      </c>
      <c r="D20" s="48"/>
      <c r="E20" s="48"/>
      <c r="F20">
        <v>599</v>
      </c>
      <c r="G20" s="14">
        <f t="shared" si="0"/>
        <v>2995</v>
      </c>
      <c r="P20" s="105" t="s">
        <v>188</v>
      </c>
      <c r="Q20" s="53"/>
      <c r="R20" s="53"/>
      <c r="S20" s="53"/>
      <c r="T20" s="53"/>
      <c r="U20" s="53"/>
      <c r="V20" s="53"/>
      <c r="W20" s="53"/>
      <c r="X20" s="53"/>
    </row>
    <row r="21" spans="1:24" x14ac:dyDescent="0.25">
      <c r="A21" s="48">
        <v>15</v>
      </c>
      <c r="B21" s="22">
        <v>154990</v>
      </c>
      <c r="C21" s="22">
        <f t="shared" si="1"/>
        <v>774950</v>
      </c>
      <c r="D21" s="48">
        <f t="shared" ref="D21:D35" si="2">B21-B22</f>
        <v>1095</v>
      </c>
      <c r="E21" s="48">
        <f t="shared" ref="E21:E34" si="3">D21*$E$13</f>
        <v>2737.5</v>
      </c>
      <c r="F21">
        <v>1462</v>
      </c>
      <c r="G21" s="14">
        <f t="shared" si="0"/>
        <v>7310</v>
      </c>
      <c r="P21" s="53"/>
      <c r="Q21" s="53" t="s">
        <v>189</v>
      </c>
      <c r="R21" s="53"/>
      <c r="S21" s="53"/>
      <c r="T21" s="53"/>
      <c r="U21" s="53"/>
      <c r="V21" s="53"/>
      <c r="W21" s="53"/>
      <c r="X21" s="53"/>
    </row>
    <row r="22" spans="1:24" x14ac:dyDescent="0.25">
      <c r="A22" s="48">
        <v>14</v>
      </c>
      <c r="B22" s="22">
        <v>153895</v>
      </c>
      <c r="C22" s="22">
        <f t="shared" si="1"/>
        <v>769475</v>
      </c>
      <c r="D22" s="48">
        <f t="shared" si="2"/>
        <v>23554</v>
      </c>
      <c r="E22" s="48">
        <f t="shared" si="3"/>
        <v>58885</v>
      </c>
      <c r="F22">
        <v>1351</v>
      </c>
      <c r="G22" s="14">
        <f t="shared" si="0"/>
        <v>6755</v>
      </c>
      <c r="P22" s="53"/>
      <c r="Q22" s="53" t="s">
        <v>190</v>
      </c>
      <c r="R22" s="53"/>
      <c r="S22" s="53"/>
      <c r="T22" s="53"/>
      <c r="U22" s="53"/>
      <c r="V22" s="53"/>
      <c r="W22" s="53"/>
      <c r="X22" s="53"/>
    </row>
    <row r="23" spans="1:24" x14ac:dyDescent="0.25">
      <c r="A23" s="48">
        <v>13</v>
      </c>
      <c r="B23" s="22">
        <v>130341</v>
      </c>
      <c r="C23" s="22">
        <f t="shared" si="1"/>
        <v>651705</v>
      </c>
      <c r="D23" s="48">
        <f t="shared" si="2"/>
        <v>4008</v>
      </c>
      <c r="E23" s="48">
        <f t="shared" si="3"/>
        <v>10020</v>
      </c>
      <c r="F23">
        <v>1277</v>
      </c>
      <c r="G23" s="14">
        <f t="shared" si="0"/>
        <v>6385</v>
      </c>
      <c r="P23" s="53"/>
      <c r="Q23" s="53"/>
      <c r="R23" s="53"/>
      <c r="S23" s="53"/>
      <c r="T23" s="53"/>
      <c r="U23" s="53"/>
      <c r="V23" s="53"/>
      <c r="W23" s="53"/>
      <c r="X23" s="53"/>
    </row>
    <row r="24" spans="1:24" x14ac:dyDescent="0.25">
      <c r="A24" s="48">
        <v>12</v>
      </c>
      <c r="B24" s="22">
        <v>126333</v>
      </c>
      <c r="C24" s="22">
        <f t="shared" si="1"/>
        <v>631665</v>
      </c>
      <c r="D24" s="48">
        <f t="shared" si="2"/>
        <v>21192</v>
      </c>
      <c r="E24" s="48">
        <f t="shared" si="3"/>
        <v>52980</v>
      </c>
      <c r="F24">
        <v>1164</v>
      </c>
      <c r="G24" s="14">
        <f t="shared" si="0"/>
        <v>5820</v>
      </c>
      <c r="P24" s="105" t="s">
        <v>186</v>
      </c>
      <c r="Q24" s="53"/>
      <c r="R24" s="53"/>
      <c r="S24" s="53"/>
      <c r="T24" s="53"/>
      <c r="U24" s="53"/>
      <c r="V24" s="53"/>
      <c r="W24" s="53"/>
      <c r="X24" s="53"/>
    </row>
    <row r="25" spans="1:24" x14ac:dyDescent="0.25">
      <c r="A25" s="48">
        <v>11</v>
      </c>
      <c r="B25" s="22">
        <v>105141</v>
      </c>
      <c r="C25" s="22">
        <f t="shared" si="1"/>
        <v>525705</v>
      </c>
      <c r="D25" s="48">
        <f t="shared" si="2"/>
        <v>13319</v>
      </c>
      <c r="E25" s="48">
        <f t="shared" si="3"/>
        <v>33297.5</v>
      </c>
      <c r="F25">
        <v>1003</v>
      </c>
      <c r="G25" s="14">
        <f t="shared" si="0"/>
        <v>5015</v>
      </c>
      <c r="P25" s="53"/>
      <c r="Q25" s="53" t="s">
        <v>187</v>
      </c>
      <c r="R25" s="53"/>
      <c r="S25" s="53"/>
      <c r="T25" s="53"/>
      <c r="U25" s="53"/>
      <c r="V25" s="53"/>
      <c r="W25" s="53"/>
      <c r="X25" s="53"/>
    </row>
    <row r="26" spans="1:24" x14ac:dyDescent="0.25">
      <c r="A26" s="48">
        <v>10</v>
      </c>
      <c r="B26" s="22">
        <v>91822</v>
      </c>
      <c r="C26" s="22">
        <f t="shared" si="1"/>
        <v>459110</v>
      </c>
      <c r="D26" s="48">
        <f t="shared" si="2"/>
        <v>18730</v>
      </c>
      <c r="E26" s="48">
        <f t="shared" si="3"/>
        <v>46825</v>
      </c>
      <c r="F26">
        <v>956</v>
      </c>
      <c r="G26" s="14">
        <f t="shared" si="0"/>
        <v>4780</v>
      </c>
      <c r="P26" s="53"/>
      <c r="Q26" s="53" t="s">
        <v>191</v>
      </c>
      <c r="R26" s="53"/>
      <c r="S26" s="53"/>
      <c r="T26" s="53"/>
      <c r="U26" s="53"/>
      <c r="V26" s="53"/>
      <c r="W26" s="53"/>
      <c r="X26" s="53"/>
    </row>
    <row r="27" spans="1:24" x14ac:dyDescent="0.25">
      <c r="A27" s="48">
        <v>9</v>
      </c>
      <c r="B27" s="22">
        <v>73092</v>
      </c>
      <c r="C27" s="22">
        <f t="shared" si="1"/>
        <v>365460</v>
      </c>
      <c r="D27" s="48">
        <f t="shared" si="2"/>
        <v>13488</v>
      </c>
      <c r="E27" s="48">
        <f t="shared" si="3"/>
        <v>33720</v>
      </c>
      <c r="F27" s="12">
        <v>907</v>
      </c>
      <c r="G27" s="14">
        <f t="shared" si="0"/>
        <v>4535</v>
      </c>
      <c r="P27" s="53"/>
      <c r="Q27" s="53"/>
      <c r="R27" s="53"/>
      <c r="S27" s="53"/>
      <c r="T27" s="53"/>
      <c r="U27" s="53"/>
      <c r="V27" s="53"/>
      <c r="W27" s="53"/>
      <c r="X27" s="53"/>
    </row>
    <row r="28" spans="1:24" x14ac:dyDescent="0.25">
      <c r="A28" s="48">
        <v>8</v>
      </c>
      <c r="B28" s="22">
        <v>59604</v>
      </c>
      <c r="C28" s="22">
        <f t="shared" si="1"/>
        <v>298020</v>
      </c>
      <c r="D28" s="48">
        <f t="shared" si="2"/>
        <v>1587</v>
      </c>
      <c r="E28" s="48">
        <f t="shared" si="3"/>
        <v>3967.5</v>
      </c>
      <c r="F28">
        <v>806</v>
      </c>
      <c r="G28" s="14">
        <f t="shared" si="0"/>
        <v>4030</v>
      </c>
      <c r="P28" s="105" t="s">
        <v>192</v>
      </c>
      <c r="Q28" s="53"/>
      <c r="R28" s="53"/>
      <c r="S28" s="53"/>
      <c r="T28" s="53"/>
      <c r="U28" s="53"/>
      <c r="V28" s="53"/>
      <c r="W28" s="53"/>
      <c r="X28" s="53"/>
    </row>
    <row r="29" spans="1:24" x14ac:dyDescent="0.25">
      <c r="A29" s="48">
        <v>7</v>
      </c>
      <c r="B29" s="22">
        <v>58017</v>
      </c>
      <c r="C29" s="22">
        <f t="shared" si="1"/>
        <v>290085</v>
      </c>
      <c r="D29" s="48">
        <f t="shared" si="2"/>
        <v>13279</v>
      </c>
      <c r="E29" s="48">
        <f t="shared" si="3"/>
        <v>33197.5</v>
      </c>
      <c r="F29">
        <v>800</v>
      </c>
      <c r="G29" s="14">
        <f t="shared" si="0"/>
        <v>4000</v>
      </c>
      <c r="P29" s="53"/>
      <c r="Q29" s="53" t="s">
        <v>193</v>
      </c>
      <c r="R29" s="53"/>
      <c r="S29" s="53"/>
      <c r="T29" s="53"/>
      <c r="U29" s="53"/>
      <c r="V29" s="53"/>
      <c r="W29" s="53"/>
      <c r="X29" s="53"/>
    </row>
    <row r="30" spans="1:24" x14ac:dyDescent="0.25">
      <c r="A30" s="48">
        <v>6</v>
      </c>
      <c r="B30" s="22">
        <v>44738</v>
      </c>
      <c r="C30" s="22">
        <f t="shared" si="1"/>
        <v>223690</v>
      </c>
      <c r="D30" s="48">
        <f t="shared" si="2"/>
        <v>5032</v>
      </c>
      <c r="E30" s="48">
        <f t="shared" si="3"/>
        <v>12580</v>
      </c>
      <c r="F30">
        <v>780</v>
      </c>
      <c r="G30" s="14">
        <f t="shared" si="0"/>
        <v>3900</v>
      </c>
      <c r="P30" s="53"/>
      <c r="Q30" s="53" t="s">
        <v>194</v>
      </c>
      <c r="R30" s="53"/>
      <c r="S30" s="53"/>
      <c r="T30" s="53"/>
      <c r="U30" s="53"/>
      <c r="V30" s="53"/>
      <c r="W30" s="53"/>
      <c r="X30" s="53"/>
    </row>
    <row r="31" spans="1:24" x14ac:dyDescent="0.25">
      <c r="A31" s="48">
        <v>5</v>
      </c>
      <c r="B31" s="22">
        <v>39706</v>
      </c>
      <c r="C31" s="22">
        <f t="shared" si="1"/>
        <v>198530</v>
      </c>
      <c r="D31" s="48">
        <f t="shared" si="2"/>
        <v>12719</v>
      </c>
      <c r="E31" s="48">
        <f t="shared" si="3"/>
        <v>31797.5</v>
      </c>
      <c r="F31">
        <v>670</v>
      </c>
      <c r="G31" s="14">
        <f t="shared" si="0"/>
        <v>3350</v>
      </c>
      <c r="Q31" s="53" t="s">
        <v>212</v>
      </c>
    </row>
    <row r="32" spans="1:24" x14ac:dyDescent="0.25">
      <c r="A32" s="48">
        <v>4</v>
      </c>
      <c r="B32" s="22">
        <v>26987</v>
      </c>
      <c r="C32" s="22">
        <f t="shared" si="1"/>
        <v>134935</v>
      </c>
      <c r="D32" s="48">
        <f t="shared" si="2"/>
        <v>8761</v>
      </c>
      <c r="E32" s="48">
        <f t="shared" si="3"/>
        <v>21902.5</v>
      </c>
      <c r="F32">
        <v>650</v>
      </c>
      <c r="G32" s="14">
        <f t="shared" si="0"/>
        <v>3250</v>
      </c>
    </row>
    <row r="33" spans="1:9" x14ac:dyDescent="0.25">
      <c r="A33" s="48">
        <v>3</v>
      </c>
      <c r="B33" s="22">
        <v>18226</v>
      </c>
      <c r="C33" s="22">
        <f t="shared" si="1"/>
        <v>91130</v>
      </c>
      <c r="D33" s="48">
        <f t="shared" si="2"/>
        <v>3128</v>
      </c>
      <c r="E33" s="48">
        <f t="shared" si="3"/>
        <v>7820</v>
      </c>
      <c r="F33">
        <v>563</v>
      </c>
      <c r="G33" s="14">
        <f t="shared" si="0"/>
        <v>2815</v>
      </c>
    </row>
    <row r="34" spans="1:9" x14ac:dyDescent="0.25">
      <c r="A34" s="48">
        <v>2</v>
      </c>
      <c r="B34" s="61">
        <v>15098</v>
      </c>
      <c r="C34" s="22">
        <f t="shared" si="1"/>
        <v>75490</v>
      </c>
      <c r="D34" s="48">
        <f t="shared" si="2"/>
        <v>6872</v>
      </c>
      <c r="E34" s="48">
        <f t="shared" si="3"/>
        <v>17180</v>
      </c>
      <c r="F34">
        <v>538</v>
      </c>
      <c r="G34" s="14">
        <f t="shared" si="0"/>
        <v>2690</v>
      </c>
    </row>
    <row r="35" spans="1:9" x14ac:dyDescent="0.25">
      <c r="A35" s="48">
        <v>1</v>
      </c>
      <c r="B35" s="22">
        <v>8226</v>
      </c>
      <c r="C35" s="22">
        <f t="shared" si="1"/>
        <v>41130</v>
      </c>
      <c r="D35" s="48">
        <f t="shared" si="2"/>
        <v>0</v>
      </c>
      <c r="F35">
        <v>187</v>
      </c>
      <c r="G35" s="14">
        <f t="shared" si="0"/>
        <v>935</v>
      </c>
    </row>
    <row r="36" spans="1:9" x14ac:dyDescent="0.25">
      <c r="A36" s="48" t="s">
        <v>68</v>
      </c>
      <c r="B36" s="22">
        <v>8226</v>
      </c>
      <c r="C36" s="22">
        <f>B36*$D$5</f>
        <v>164520</v>
      </c>
      <c r="D36" s="48"/>
      <c r="E36" s="48"/>
      <c r="G36" s="48">
        <f>F35*$D$5</f>
        <v>3740</v>
      </c>
    </row>
    <row r="37" spans="1:9" x14ac:dyDescent="0.25">
      <c r="A37" s="14" t="s">
        <v>72</v>
      </c>
      <c r="B37" s="22">
        <f>SUM(B16:B36)</f>
        <v>1764274</v>
      </c>
      <c r="C37" s="26">
        <f>SUM(C16:C36)</f>
        <v>8944760</v>
      </c>
      <c r="E37" s="61">
        <f>SUM(E21:E36)</f>
        <v>366910</v>
      </c>
      <c r="F37" s="22">
        <f>SUM(F15:F36)</f>
        <v>16500</v>
      </c>
      <c r="G37" s="22">
        <f>SUM(G14:G36)</f>
        <v>88500</v>
      </c>
    </row>
    <row r="38" spans="1:9" s="48" customFormat="1" x14ac:dyDescent="0.25">
      <c r="A38" s="14"/>
      <c r="B38" s="22"/>
      <c r="C38" s="26"/>
      <c r="E38" s="61"/>
      <c r="F38" s="22"/>
      <c r="G38" s="22"/>
    </row>
    <row r="39" spans="1:9" x14ac:dyDescent="0.25">
      <c r="A39" t="s">
        <v>158</v>
      </c>
      <c r="C39" s="22"/>
    </row>
    <row r="40" spans="1:9" s="48" customFormat="1" x14ac:dyDescent="0.25">
      <c r="A40" s="48" t="s">
        <v>162</v>
      </c>
      <c r="B40" s="22">
        <v>30230</v>
      </c>
      <c r="C40" s="22">
        <f>B40*D4</f>
        <v>151150</v>
      </c>
    </row>
    <row r="41" spans="1:9" s="48" customFormat="1" x14ac:dyDescent="0.25">
      <c r="A41" s="48" t="s">
        <v>161</v>
      </c>
      <c r="B41" s="22">
        <v>18611</v>
      </c>
      <c r="C41" s="22">
        <f>B41*D6</f>
        <v>18611</v>
      </c>
    </row>
    <row r="42" spans="1:9" s="48" customFormat="1" x14ac:dyDescent="0.25">
      <c r="B42" s="22"/>
      <c r="C42" s="22"/>
    </row>
    <row r="43" spans="1:9" x14ac:dyDescent="0.25">
      <c r="A43" s="12" t="s">
        <v>157</v>
      </c>
      <c r="C43" s="61">
        <f>C37+E37+C40+C41</f>
        <v>9481431</v>
      </c>
      <c r="E43" s="12" t="s">
        <v>83</v>
      </c>
      <c r="H43" s="65">
        <f>G37/D7</f>
        <v>8.85</v>
      </c>
      <c r="I43" t="s">
        <v>164</v>
      </c>
    </row>
    <row r="45" spans="1:9" x14ac:dyDescent="0.25">
      <c r="A45" t="s">
        <v>88</v>
      </c>
    </row>
    <row r="46" spans="1:9" s="48" customFormat="1" x14ac:dyDescent="0.25">
      <c r="B46" s="48" t="s">
        <v>30</v>
      </c>
    </row>
    <row r="47" spans="1:9" x14ac:dyDescent="0.25">
      <c r="A47" s="2">
        <v>2016</v>
      </c>
      <c r="B47" s="2">
        <v>14</v>
      </c>
      <c r="C47" s="2"/>
    </row>
    <row r="48" spans="1:9" x14ac:dyDescent="0.25">
      <c r="A48" s="2">
        <v>2017</v>
      </c>
      <c r="B48" s="2">
        <v>26</v>
      </c>
      <c r="C48" s="2"/>
    </row>
    <row r="49" spans="1:17" x14ac:dyDescent="0.25">
      <c r="A49" s="2">
        <v>2018</v>
      </c>
      <c r="B49" s="2">
        <v>22</v>
      </c>
      <c r="C49" s="2"/>
    </row>
    <row r="50" spans="1:17" x14ac:dyDescent="0.25">
      <c r="A50" s="2">
        <v>2019</v>
      </c>
      <c r="B50" s="2">
        <v>10</v>
      </c>
      <c r="C50" s="2"/>
      <c r="D50" s="2"/>
      <c r="E50" s="2"/>
    </row>
    <row r="51" spans="1:17" x14ac:dyDescent="0.25">
      <c r="A51" s="12" t="s">
        <v>6</v>
      </c>
      <c r="B51" s="1">
        <f>SUM(B47:B50)</f>
        <v>72</v>
      </c>
    </row>
    <row r="52" spans="1:17" x14ac:dyDescent="0.25">
      <c r="A52" t="s">
        <v>89</v>
      </c>
      <c r="C52" s="22">
        <f>Estimates!G22</f>
        <v>44848.532539682543</v>
      </c>
      <c r="D52" t="s">
        <v>9</v>
      </c>
      <c r="J52" s="116"/>
      <c r="K52" s="116"/>
      <c r="L52" s="116"/>
      <c r="M52" s="116"/>
      <c r="N52" s="116"/>
      <c r="O52" s="116"/>
      <c r="P52" s="116"/>
    </row>
    <row r="53" spans="1:17" x14ac:dyDescent="0.25">
      <c r="A53" t="s">
        <v>90</v>
      </c>
      <c r="C53" s="22">
        <f>B51*C52</f>
        <v>3229094.3428571429</v>
      </c>
      <c r="D53" t="s">
        <v>21</v>
      </c>
      <c r="O53" s="116"/>
      <c r="P53" s="116"/>
    </row>
    <row r="54" spans="1:17" x14ac:dyDescent="0.25">
      <c r="A54" t="s">
        <v>143</v>
      </c>
      <c r="C54" s="61">
        <f>C53*D65</f>
        <v>1652553.6118439999</v>
      </c>
      <c r="D54" t="s">
        <v>76</v>
      </c>
      <c r="J54" s="117" t="s">
        <v>247</v>
      </c>
      <c r="K54" s="116"/>
      <c r="L54" s="116"/>
      <c r="M54" s="116"/>
      <c r="N54" s="116"/>
      <c r="O54" s="116"/>
      <c r="P54" s="116"/>
    </row>
    <row r="55" spans="1:17" x14ac:dyDescent="0.25">
      <c r="A55" t="s">
        <v>155</v>
      </c>
      <c r="C55" s="22">
        <v>2300000</v>
      </c>
      <c r="J55" s="118" t="s">
        <v>107</v>
      </c>
      <c r="K55" s="118" t="s">
        <v>52</v>
      </c>
      <c r="L55" s="125" t="s">
        <v>295</v>
      </c>
      <c r="M55" s="116"/>
      <c r="N55" s="118" t="s">
        <v>147</v>
      </c>
      <c r="O55" s="116"/>
      <c r="P55" s="116"/>
      <c r="Q55" s="48"/>
    </row>
    <row r="56" spans="1:17" s="48" customFormat="1" x14ac:dyDescent="0.25">
      <c r="C56" s="22"/>
      <c r="J56" s="118"/>
      <c r="K56" s="118" t="s">
        <v>110</v>
      </c>
      <c r="L56" s="130" t="s">
        <v>73</v>
      </c>
      <c r="M56" s="118" t="s">
        <v>109</v>
      </c>
      <c r="N56" s="118" t="s">
        <v>81</v>
      </c>
      <c r="O56" s="118" t="s">
        <v>109</v>
      </c>
      <c r="P56" s="116"/>
      <c r="Q56"/>
    </row>
    <row r="57" spans="1:17" x14ac:dyDescent="0.25">
      <c r="A57" s="79" t="s">
        <v>156</v>
      </c>
      <c r="B57" s="12"/>
      <c r="C57" s="61">
        <f>C43+C54+C55</f>
        <v>13433984.611843999</v>
      </c>
      <c r="D57" s="14" t="s">
        <v>76</v>
      </c>
      <c r="E57" t="s">
        <v>112</v>
      </c>
      <c r="J57" s="116" t="s">
        <v>108</v>
      </c>
      <c r="K57" s="119">
        <v>10000</v>
      </c>
      <c r="L57" s="120">
        <f>C57/K57</f>
        <v>1343.3984611844</v>
      </c>
      <c r="M57" s="124">
        <f>L57/1000</f>
        <v>1.3433984611844001</v>
      </c>
      <c r="N57" s="120">
        <f>C60/K57</f>
        <v>2151.9095254034655</v>
      </c>
      <c r="O57" s="121">
        <f>N57/1000</f>
        <v>2.1519095254034655</v>
      </c>
      <c r="P57" s="116"/>
    </row>
    <row r="58" spans="1:17" x14ac:dyDescent="0.25">
      <c r="A58" t="s">
        <v>77</v>
      </c>
      <c r="C58" s="61">
        <f>C57*C64</f>
        <v>42048371.83507172</v>
      </c>
      <c r="D58" t="s">
        <v>144</v>
      </c>
      <c r="J58" s="116" t="s">
        <v>111</v>
      </c>
      <c r="K58" s="116"/>
      <c r="L58" s="116">
        <v>287</v>
      </c>
      <c r="M58" s="116"/>
      <c r="N58" s="116"/>
      <c r="O58" s="116"/>
      <c r="P58" s="116"/>
    </row>
    <row r="59" spans="1:17" x14ac:dyDescent="0.25">
      <c r="A59" t="s">
        <v>379</v>
      </c>
      <c r="C59">
        <f>C58/1000000</f>
        <v>42.04837183507172</v>
      </c>
      <c r="J59" s="116"/>
      <c r="K59" s="116"/>
      <c r="L59" s="121">
        <f>L57/L58</f>
        <v>4.6808308752069685</v>
      </c>
      <c r="M59" s="116"/>
      <c r="N59" s="116"/>
      <c r="O59" s="116"/>
      <c r="P59" s="116"/>
    </row>
    <row r="60" spans="1:17" x14ac:dyDescent="0.25">
      <c r="A60" t="s">
        <v>145</v>
      </c>
      <c r="C60" s="61">
        <f>C58*D65</f>
        <v>21519095.254034653</v>
      </c>
      <c r="D60" t="s">
        <v>376</v>
      </c>
      <c r="J60" s="122" t="s">
        <v>113</v>
      </c>
      <c r="K60" s="116"/>
      <c r="L60" s="116"/>
      <c r="M60" s="116"/>
      <c r="N60" s="116"/>
      <c r="O60" s="116"/>
      <c r="P60" s="116"/>
    </row>
    <row r="61" spans="1:17" x14ac:dyDescent="0.25">
      <c r="A61" t="s">
        <v>106</v>
      </c>
      <c r="C61" s="22">
        <f>C58/B66*2</f>
        <v>8409674.3670143448</v>
      </c>
      <c r="D61" s="28" t="s">
        <v>117</v>
      </c>
      <c r="J61" s="116"/>
      <c r="K61" s="116" t="s">
        <v>248</v>
      </c>
      <c r="L61" s="116"/>
      <c r="M61" s="116"/>
      <c r="N61" s="116"/>
      <c r="O61" s="116"/>
      <c r="P61" s="116"/>
    </row>
    <row r="62" spans="1:17" x14ac:dyDescent="0.25">
      <c r="J62" s="116"/>
      <c r="K62" s="123" t="s">
        <v>249</v>
      </c>
      <c r="L62" s="116"/>
      <c r="M62" s="116"/>
      <c r="N62" s="116"/>
      <c r="O62" s="116"/>
      <c r="P62" s="116"/>
    </row>
    <row r="63" spans="1:17" x14ac:dyDescent="0.25">
      <c r="A63" s="35" t="s">
        <v>50</v>
      </c>
      <c r="C63" t="s">
        <v>49</v>
      </c>
      <c r="D63" t="s">
        <v>48</v>
      </c>
      <c r="J63" s="116"/>
      <c r="K63" s="123" t="s">
        <v>146</v>
      </c>
      <c r="L63" s="116"/>
      <c r="M63" s="116"/>
      <c r="N63" s="116"/>
      <c r="O63" s="116"/>
      <c r="P63" s="116"/>
    </row>
    <row r="64" spans="1:17" x14ac:dyDescent="0.25">
      <c r="A64" t="s">
        <v>375</v>
      </c>
      <c r="C64" s="68">
        <v>3.13</v>
      </c>
      <c r="D64" s="68">
        <v>0.33200000000000002</v>
      </c>
      <c r="E64" s="115" t="s">
        <v>245</v>
      </c>
      <c r="J64" s="116"/>
      <c r="K64" s="123" t="s">
        <v>256</v>
      </c>
      <c r="L64" s="116"/>
      <c r="M64" s="116"/>
      <c r="N64" s="116"/>
      <c r="O64" s="116"/>
      <c r="P64" s="116"/>
    </row>
    <row r="65" spans="1:23" x14ac:dyDescent="0.25">
      <c r="A65" t="s">
        <v>51</v>
      </c>
      <c r="C65" s="68">
        <v>1.1954</v>
      </c>
      <c r="D65" s="68">
        <v>0.51176999999999995</v>
      </c>
    </row>
    <row r="66" spans="1:23" x14ac:dyDescent="0.25">
      <c r="A66" t="s">
        <v>116</v>
      </c>
      <c r="B66" s="21">
        <v>10</v>
      </c>
      <c r="C66" s="48" t="s">
        <v>39</v>
      </c>
    </row>
    <row r="68" spans="1:23" s="48" customFormat="1" x14ac:dyDescent="0.25"/>
    <row r="70" spans="1:23" s="48" customFormat="1" x14ac:dyDescent="0.25"/>
    <row r="71" spans="1:23" s="48" customFormat="1" x14ac:dyDescent="0.25"/>
    <row r="72" spans="1:23" s="48" customFormat="1" x14ac:dyDescent="0.25"/>
    <row r="73" spans="1:23" x14ac:dyDescent="0.25">
      <c r="N73" s="22"/>
    </row>
    <row r="74" spans="1:23" s="48" customFormat="1" x14ac:dyDescent="0.25">
      <c r="N74" s="22"/>
      <c r="T74" s="32"/>
    </row>
    <row r="75" spans="1:23" x14ac:dyDescent="0.25">
      <c r="N75" s="22"/>
      <c r="U75" s="3"/>
    </row>
    <row r="76" spans="1:23" x14ac:dyDescent="0.25">
      <c r="P76" s="22"/>
      <c r="W76" s="48"/>
    </row>
    <row r="77" spans="1:23" s="48" customFormat="1" x14ac:dyDescent="0.25">
      <c r="P77" s="22"/>
    </row>
    <row r="78" spans="1:23" s="48" customFormat="1" x14ac:dyDescent="0.25">
      <c r="P78" s="22"/>
    </row>
    <row r="79" spans="1:23" s="48" customFormat="1" x14ac:dyDescent="0.25">
      <c r="P79" s="22"/>
    </row>
    <row r="80" spans="1:23" s="48" customFormat="1" x14ac:dyDescent="0.25">
      <c r="P80" s="22"/>
    </row>
    <row r="83" spans="1:23" x14ac:dyDescent="0.25">
      <c r="W83" s="48"/>
    </row>
    <row r="85" spans="1:23" x14ac:dyDescent="0.25">
      <c r="W85" s="48"/>
    </row>
    <row r="86" spans="1:23" x14ac:dyDescent="0.25">
      <c r="W86" s="48"/>
    </row>
    <row r="87" spans="1:23" x14ac:dyDescent="0.25">
      <c r="W87" s="48"/>
    </row>
    <row r="88" spans="1:23" x14ac:dyDescent="0.25">
      <c r="W88" s="48"/>
    </row>
    <row r="89" spans="1:23" x14ac:dyDescent="0.25">
      <c r="M89" s="38"/>
      <c r="N89" s="21"/>
      <c r="U89" s="3"/>
      <c r="W89" s="48"/>
    </row>
    <row r="90" spans="1:23" s="48" customFormat="1" x14ac:dyDescent="0.25">
      <c r="M90" s="38"/>
      <c r="N90" s="21"/>
      <c r="U90" s="3"/>
    </row>
    <row r="91" spans="1:23" s="48" customFormat="1" x14ac:dyDescent="0.25">
      <c r="E91" s="22"/>
      <c r="F91" s="28"/>
      <c r="G91" s="22"/>
      <c r="H91" s="22"/>
      <c r="I91" s="22"/>
      <c r="M91" s="38"/>
      <c r="N91" s="21"/>
      <c r="U91" s="3"/>
    </row>
    <row r="92" spans="1:23" x14ac:dyDescent="0.25">
      <c r="C92" s="22"/>
      <c r="D92" s="22"/>
      <c r="E92" s="22"/>
      <c r="F92" s="22"/>
      <c r="G92" s="22"/>
      <c r="H92" s="27"/>
      <c r="I92" s="27"/>
      <c r="N92" s="39"/>
      <c r="W92" s="48"/>
    </row>
    <row r="93" spans="1:23" x14ac:dyDescent="0.25">
      <c r="C93" s="22"/>
      <c r="D93" s="22"/>
      <c r="E93" s="22"/>
      <c r="G93" s="22"/>
      <c r="H93" s="22"/>
      <c r="I93" s="22"/>
      <c r="W93" s="48"/>
    </row>
    <row r="94" spans="1:23" x14ac:dyDescent="0.25">
      <c r="A94" s="3"/>
      <c r="C94" s="22"/>
      <c r="D94" s="22"/>
      <c r="E94" s="22"/>
      <c r="G94" s="28"/>
      <c r="H94" s="22"/>
      <c r="I94" s="22"/>
      <c r="W94" s="48"/>
    </row>
    <row r="95" spans="1:23" x14ac:dyDescent="0.25">
      <c r="C95" s="22"/>
      <c r="D95" s="22"/>
      <c r="E95" s="30"/>
      <c r="F95" s="22"/>
      <c r="G95" s="22"/>
      <c r="H95" s="22"/>
      <c r="I95" s="22"/>
    </row>
    <row r="96" spans="1:23" x14ac:dyDescent="0.25">
      <c r="A96" s="3"/>
      <c r="B96" s="9"/>
      <c r="C96" s="22"/>
      <c r="D96" s="28"/>
      <c r="E96" s="27"/>
      <c r="F96" s="28"/>
      <c r="G96" s="28"/>
      <c r="H96" s="27"/>
      <c r="I96" s="27"/>
    </row>
    <row r="97" spans="1:23" x14ac:dyDescent="0.25">
      <c r="A97" s="29"/>
      <c r="B97" s="29"/>
      <c r="C97" s="27"/>
      <c r="D97" s="27"/>
      <c r="E97" s="27"/>
      <c r="F97" s="27"/>
      <c r="G97" s="27"/>
      <c r="I97" s="22"/>
    </row>
    <row r="98" spans="1:23" x14ac:dyDescent="0.25">
      <c r="C98" s="22"/>
      <c r="D98" s="22"/>
      <c r="E98" s="22"/>
      <c r="F98" s="22"/>
      <c r="G98" s="22"/>
      <c r="H98" s="22"/>
      <c r="I98" s="22"/>
    </row>
    <row r="99" spans="1:23" x14ac:dyDescent="0.25">
      <c r="A99" s="12"/>
    </row>
    <row r="100" spans="1:23" x14ac:dyDescent="0.25">
      <c r="D100" s="22"/>
    </row>
    <row r="101" spans="1:23" x14ac:dyDescent="0.25">
      <c r="D101" s="2"/>
    </row>
    <row r="102" spans="1:23" x14ac:dyDescent="0.25">
      <c r="D102" s="22"/>
      <c r="F102" s="22"/>
    </row>
    <row r="103" spans="1:23" x14ac:dyDescent="0.25">
      <c r="A103" s="48"/>
      <c r="B103" s="48"/>
      <c r="C103" s="48"/>
      <c r="D103" s="22"/>
      <c r="E103" s="48"/>
      <c r="F103" s="22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</row>
    <row r="104" spans="1:23" x14ac:dyDescent="0.25">
      <c r="A104" s="48"/>
      <c r="B104" s="48"/>
      <c r="C104" s="48"/>
      <c r="D104" s="22"/>
      <c r="E104" s="48"/>
      <c r="F104" s="22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</row>
    <row r="105" spans="1:23" x14ac:dyDescent="0.25">
      <c r="A105" s="48"/>
      <c r="B105" s="48"/>
      <c r="C105" s="48"/>
      <c r="D105" s="22"/>
      <c r="E105" s="48"/>
      <c r="F105" s="22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</row>
    <row r="106" spans="1:23" x14ac:dyDescent="0.25">
      <c r="A106" s="48"/>
      <c r="B106" s="48"/>
      <c r="C106" s="48"/>
      <c r="D106" s="22"/>
      <c r="E106" s="48"/>
      <c r="F106" s="22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</row>
    <row r="107" spans="1:23" x14ac:dyDescent="0.25">
      <c r="D107" s="22"/>
      <c r="F107" s="22"/>
      <c r="H107" s="32"/>
    </row>
    <row r="108" spans="1:23" x14ac:dyDescent="0.25">
      <c r="D108" s="22"/>
      <c r="W108" s="48"/>
    </row>
    <row r="109" spans="1:23" x14ac:dyDescent="0.25">
      <c r="D109" s="22"/>
      <c r="H109" s="32"/>
    </row>
    <row r="110" spans="1:23" x14ac:dyDescent="0.25">
      <c r="D110" s="36"/>
    </row>
    <row r="111" spans="1:23" x14ac:dyDescent="0.25">
      <c r="C111" s="37"/>
      <c r="D111" s="19"/>
      <c r="E111" s="19"/>
      <c r="F111" s="19"/>
      <c r="G111" s="19"/>
      <c r="H111" s="19"/>
      <c r="I111" s="19"/>
    </row>
    <row r="112" spans="1:23" x14ac:dyDescent="0.25">
      <c r="C112" s="19"/>
      <c r="F112" s="22"/>
      <c r="G112" s="3"/>
      <c r="H112" s="3"/>
      <c r="J112" s="22"/>
      <c r="K112" s="22"/>
    </row>
    <row r="113" spans="1:22" x14ac:dyDescent="0.25">
      <c r="A113" s="48"/>
      <c r="B113" s="48"/>
      <c r="C113" s="19"/>
      <c r="D113" s="48"/>
      <c r="E113" s="48"/>
      <c r="F113" s="22"/>
      <c r="G113" s="3"/>
      <c r="H113" s="3"/>
      <c r="I113" s="48"/>
      <c r="J113" s="22"/>
      <c r="K113" s="22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</row>
  </sheetData>
  <hyperlinks>
    <hyperlink ref="B8" r:id="rId1" display="https://qldglobe.information.qld.gov.au/qldglobe/public/mt-coot-tha-quarry-0" xr:uid="{FFD04C5D-E80F-42D2-856E-3A5EFE7B1DB1}"/>
  </hyperlinks>
  <pageMargins left="0.7" right="0.7" top="0.75" bottom="0.75" header="0.3" footer="0.3"/>
  <pageSetup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72F6B-C7DD-40C6-A37B-FB9602D9FEBE}">
  <sheetPr>
    <tabColor theme="9" tint="-0.249977111117893"/>
  </sheetPr>
  <dimension ref="A1:AE108"/>
  <sheetViews>
    <sheetView workbookViewId="0"/>
  </sheetViews>
  <sheetFormatPr defaultRowHeight="15" x14ac:dyDescent="0.25"/>
  <cols>
    <col min="4" max="4" width="14.85546875" customWidth="1"/>
    <col min="7" max="7" width="10.7109375" customWidth="1"/>
    <col min="8" max="8" width="13" customWidth="1"/>
    <col min="9" max="9" width="10.140625" customWidth="1"/>
    <col min="10" max="13" width="10.140625" style="48" customWidth="1"/>
    <col min="15" max="15" width="10" style="48" customWidth="1"/>
    <col min="16" max="16" width="9.140625" style="48"/>
    <col min="17" max="17" width="12.140625" customWidth="1"/>
    <col min="18" max="18" width="11.140625" style="48" customWidth="1"/>
    <col min="19" max="19" width="11" style="48" customWidth="1"/>
    <col min="20" max="20" width="11.42578125" style="48" customWidth="1"/>
    <col min="21" max="21" width="10.7109375" customWidth="1"/>
    <col min="22" max="22" width="12" customWidth="1"/>
  </cols>
  <sheetData>
    <row r="1" spans="1:31" s="69" customFormat="1" x14ac:dyDescent="0.25">
      <c r="A1" s="74" t="s">
        <v>97</v>
      </c>
      <c r="Y1" s="105" t="s">
        <v>171</v>
      </c>
      <c r="Z1" s="53"/>
      <c r="AA1" s="53"/>
      <c r="AB1" s="53"/>
      <c r="AC1" s="53"/>
      <c r="AD1" s="53" t="s">
        <v>204</v>
      </c>
      <c r="AE1" s="53"/>
    </row>
    <row r="2" spans="1:31" s="69" customFormat="1" x14ac:dyDescent="0.25">
      <c r="A2" s="177" t="s">
        <v>128</v>
      </c>
      <c r="Y2" s="53" t="s">
        <v>195</v>
      </c>
      <c r="Z2" s="53"/>
      <c r="AA2" s="53"/>
      <c r="AB2" s="53"/>
      <c r="AC2" s="53"/>
      <c r="AD2" s="53"/>
      <c r="AE2" s="53"/>
    </row>
    <row r="3" spans="1:31" s="69" customFormat="1" x14ac:dyDescent="0.25">
      <c r="A3" s="177" t="s">
        <v>480</v>
      </c>
      <c r="Y3" s="53" t="s">
        <v>196</v>
      </c>
      <c r="Z3" s="53"/>
      <c r="AA3" s="53"/>
      <c r="AB3" s="53"/>
      <c r="AC3" s="53"/>
      <c r="AD3" s="53"/>
      <c r="AE3" s="53"/>
    </row>
    <row r="4" spans="1:31" s="69" customFormat="1" x14ac:dyDescent="0.25">
      <c r="A4" s="177" t="s">
        <v>481</v>
      </c>
      <c r="Y4" s="53"/>
      <c r="Z4" s="53"/>
      <c r="AA4" s="53"/>
      <c r="AB4" s="53"/>
      <c r="AC4" s="53"/>
      <c r="AD4" s="53"/>
      <c r="AE4" s="53"/>
    </row>
    <row r="5" spans="1:31" s="69" customFormat="1" x14ac:dyDescent="0.25">
      <c r="A5" s="177"/>
      <c r="Y5" s="53"/>
      <c r="Z5" s="53"/>
      <c r="AA5" s="53"/>
      <c r="AB5" s="53"/>
      <c r="AC5" s="53"/>
      <c r="AD5" s="53"/>
      <c r="AE5" s="53"/>
    </row>
    <row r="6" spans="1:31" s="7" customFormat="1" x14ac:dyDescent="0.25">
      <c r="A6" s="77" t="s">
        <v>129</v>
      </c>
      <c r="Y6" s="53"/>
      <c r="Z6" s="53"/>
      <c r="AA6" s="53"/>
      <c r="AB6" s="53"/>
      <c r="AC6" s="53"/>
      <c r="AD6" s="53"/>
      <c r="AE6" s="53"/>
    </row>
    <row r="7" spans="1:31" s="7" customFormat="1" x14ac:dyDescent="0.25">
      <c r="A7" s="77" t="s">
        <v>482</v>
      </c>
      <c r="Y7" s="53"/>
      <c r="Z7" s="53"/>
      <c r="AA7" s="53"/>
      <c r="AB7" s="53"/>
      <c r="AC7" s="53"/>
      <c r="AD7" s="53"/>
      <c r="AE7" s="53"/>
    </row>
    <row r="8" spans="1:31" s="48" customFormat="1" x14ac:dyDescent="0.25">
      <c r="A8"/>
      <c r="B8"/>
      <c r="D8" s="91" t="s">
        <v>140</v>
      </c>
      <c r="E8" s="19"/>
      <c r="F8"/>
      <c r="G8" s="19"/>
      <c r="H8" s="35" t="s">
        <v>299</v>
      </c>
      <c r="J8" s="35"/>
      <c r="K8" s="35"/>
      <c r="L8" s="35" t="s">
        <v>519</v>
      </c>
      <c r="M8" s="35"/>
      <c r="N8"/>
      <c r="W8" s="80"/>
      <c r="Y8" s="105" t="s">
        <v>199</v>
      </c>
      <c r="Z8" s="53"/>
      <c r="AA8" s="53"/>
      <c r="AB8" s="53"/>
      <c r="AC8" s="53"/>
      <c r="AD8" s="53"/>
      <c r="AE8" s="53"/>
    </row>
    <row r="9" spans="1:31" s="48" customFormat="1" x14ac:dyDescent="0.25">
      <c r="A9" s="32" t="s">
        <v>38</v>
      </c>
      <c r="B9"/>
      <c r="D9" s="19" t="s">
        <v>18</v>
      </c>
      <c r="G9" s="25"/>
      <c r="H9" t="s">
        <v>131</v>
      </c>
      <c r="J9" s="48">
        <v>16</v>
      </c>
      <c r="K9" s="14" t="s">
        <v>300</v>
      </c>
      <c r="L9" s="14" t="s">
        <v>514</v>
      </c>
      <c r="N9"/>
      <c r="Y9" s="53"/>
      <c r="Z9" s="53" t="s">
        <v>197</v>
      </c>
      <c r="AA9" s="53"/>
      <c r="AB9" s="53"/>
      <c r="AC9" s="53"/>
      <c r="AD9" s="53"/>
      <c r="AE9" s="53"/>
    </row>
    <row r="10" spans="1:31" s="48" customFormat="1" x14ac:dyDescent="0.25">
      <c r="A10">
        <v>2001</v>
      </c>
      <c r="B10"/>
      <c r="C10"/>
      <c r="D10" s="88">
        <v>72</v>
      </c>
      <c r="E10" s="90" t="s">
        <v>139</v>
      </c>
      <c r="F10"/>
      <c r="G10"/>
      <c r="H10" t="s">
        <v>132</v>
      </c>
      <c r="J10" s="2">
        <v>30</v>
      </c>
      <c r="K10" s="48" t="s">
        <v>300</v>
      </c>
      <c r="L10" s="14" t="s">
        <v>520</v>
      </c>
      <c r="N10"/>
      <c r="Y10" s="53"/>
      <c r="Z10" s="53" t="s">
        <v>198</v>
      </c>
      <c r="AA10" s="53"/>
      <c r="AB10" s="53"/>
      <c r="AC10" s="53"/>
      <c r="AD10" s="53"/>
      <c r="AE10" s="53"/>
    </row>
    <row r="11" spans="1:31" s="48" customFormat="1" x14ac:dyDescent="0.25">
      <c r="A11" s="48">
        <v>2010</v>
      </c>
      <c r="D11" s="67">
        <f>$D$34</f>
        <v>95.585857113616257</v>
      </c>
      <c r="E11" s="3"/>
      <c r="F11"/>
      <c r="G11"/>
      <c r="H11" t="s">
        <v>134</v>
      </c>
      <c r="J11" s="78">
        <f>HoleSize!$H$43</f>
        <v>8.85</v>
      </c>
      <c r="K11" s="48" t="s">
        <v>300</v>
      </c>
      <c r="L11" s="14" t="s">
        <v>515</v>
      </c>
      <c r="N11"/>
      <c r="Y11" s="53"/>
      <c r="Z11" s="53" t="s">
        <v>201</v>
      </c>
      <c r="AA11" s="53"/>
      <c r="AB11" s="53"/>
      <c r="AC11" s="53"/>
      <c r="AD11" s="106">
        <f>D44</f>
        <v>117.30770250093917</v>
      </c>
      <c r="AE11" s="53"/>
    </row>
    <row r="12" spans="1:31" s="48" customFormat="1" x14ac:dyDescent="0.25">
      <c r="A12" s="48">
        <v>2020</v>
      </c>
      <c r="D12" s="81">
        <f>$D$44</f>
        <v>117.30770250093917</v>
      </c>
      <c r="E12" s="89" t="s">
        <v>138</v>
      </c>
      <c r="H12" t="s">
        <v>133</v>
      </c>
      <c r="J12" s="78">
        <f>J10+J11</f>
        <v>38.85</v>
      </c>
      <c r="K12" s="48" t="s">
        <v>300</v>
      </c>
      <c r="L12" s="14" t="s">
        <v>516</v>
      </c>
      <c r="N12"/>
      <c r="Y12" s="53"/>
      <c r="Z12" s="53"/>
      <c r="AA12" s="53"/>
      <c r="AB12" s="53"/>
      <c r="AC12" s="53"/>
      <c r="AD12" s="53"/>
      <c r="AE12" s="53"/>
    </row>
    <row r="13" spans="1:31" s="48" customFormat="1" x14ac:dyDescent="0.25">
      <c r="A13" s="48">
        <v>2022</v>
      </c>
      <c r="D13" s="67">
        <f>$D$46</f>
        <v>123.48700303787865</v>
      </c>
      <c r="E13" s="3"/>
      <c r="H13" t="s">
        <v>301</v>
      </c>
      <c r="J13" s="132">
        <f>J12/J9</f>
        <v>2.4281250000000001</v>
      </c>
      <c r="L13" s="14" t="s">
        <v>517</v>
      </c>
      <c r="N13"/>
      <c r="Y13" s="105" t="s">
        <v>200</v>
      </c>
      <c r="Z13" s="53"/>
      <c r="AA13" s="53"/>
      <c r="AB13" s="53"/>
      <c r="AC13" s="53"/>
      <c r="AD13" s="53"/>
      <c r="AE13" s="53"/>
    </row>
    <row r="14" spans="1:31" s="48" customFormat="1" x14ac:dyDescent="0.25">
      <c r="A14" s="14">
        <v>2026</v>
      </c>
      <c r="B14" s="14"/>
      <c r="C14" s="14"/>
      <c r="D14" s="67">
        <f>$D$50</f>
        <v>136.83925269899791</v>
      </c>
      <c r="H14" s="82" t="s">
        <v>303</v>
      </c>
      <c r="J14" s="132">
        <v>0.3</v>
      </c>
      <c r="L14" s="82" t="s">
        <v>518</v>
      </c>
      <c r="M14" s="82"/>
      <c r="N14" s="14"/>
      <c r="O14" s="14"/>
      <c r="P14" s="14"/>
      <c r="Y14" s="53"/>
      <c r="Z14" s="53" t="s">
        <v>202</v>
      </c>
      <c r="AA14" s="53"/>
      <c r="AB14" s="53"/>
      <c r="AC14" s="53"/>
      <c r="AD14" s="106">
        <f>J13</f>
        <v>2.4281250000000001</v>
      </c>
      <c r="AE14" s="53"/>
    </row>
    <row r="15" spans="1:31" s="14" customFormat="1" x14ac:dyDescent="0.25">
      <c r="A15" s="14">
        <v>2030</v>
      </c>
      <c r="D15" s="67">
        <f>$D$54</f>
        <v>151.63523786771691</v>
      </c>
      <c r="E15" s="89" t="s">
        <v>142</v>
      </c>
      <c r="H15" s="225" t="s">
        <v>302</v>
      </c>
      <c r="I15" s="225"/>
      <c r="J15" s="224">
        <f>J13+J13*J14</f>
        <v>3.1565625000000002</v>
      </c>
      <c r="L15" s="14" t="s">
        <v>521</v>
      </c>
      <c r="Y15" s="53"/>
      <c r="Z15" s="53" t="s">
        <v>203</v>
      </c>
      <c r="AA15" s="53"/>
      <c r="AB15" s="53"/>
      <c r="AC15" s="53"/>
      <c r="AD15" s="106">
        <f>J15</f>
        <v>3.1565625000000002</v>
      </c>
      <c r="AE15" s="53"/>
    </row>
    <row r="16" spans="1:31" s="14" customFormat="1" x14ac:dyDescent="0.25">
      <c r="Y16" s="53"/>
      <c r="Z16" s="53"/>
      <c r="AA16" s="53"/>
      <c r="AB16" s="53"/>
      <c r="AC16" s="53"/>
      <c r="AD16" s="53"/>
      <c r="AE16" s="53"/>
    </row>
    <row r="17" spans="1:31" s="14" customFormat="1" x14ac:dyDescent="0.25">
      <c r="D17" s="68"/>
      <c r="Y17" s="105" t="s">
        <v>205</v>
      </c>
      <c r="Z17" s="53"/>
      <c r="AA17" s="53"/>
      <c r="AB17" s="53"/>
      <c r="AC17" s="53"/>
      <c r="AD17" s="53"/>
      <c r="AE17" s="53"/>
    </row>
    <row r="18" spans="1:31" s="14" customFormat="1" x14ac:dyDescent="0.25">
      <c r="A18" s="177" t="s">
        <v>483</v>
      </c>
      <c r="D18" s="68"/>
      <c r="Y18" s="53"/>
      <c r="Z18" s="53" t="s">
        <v>206</v>
      </c>
      <c r="AA18" s="53"/>
      <c r="AB18" s="53"/>
      <c r="AC18" s="53"/>
      <c r="AD18" s="53"/>
      <c r="AE18" s="53"/>
    </row>
    <row r="19" spans="1:31" s="48" customFormat="1" x14ac:dyDescent="0.25">
      <c r="A19" s="177" t="s">
        <v>484</v>
      </c>
      <c r="B19"/>
      <c r="C19"/>
      <c r="Y19" s="53"/>
      <c r="Z19" s="53" t="s">
        <v>207</v>
      </c>
      <c r="AA19" s="53"/>
      <c r="AB19" s="53"/>
      <c r="AC19" s="53"/>
      <c r="AD19" s="53"/>
      <c r="AE19" s="53"/>
    </row>
    <row r="20" spans="1:31" s="48" customFormat="1" x14ac:dyDescent="0.25">
      <c r="A20" s="62"/>
      <c r="U20" s="77"/>
      <c r="Y20" s="53"/>
      <c r="Z20" s="53" t="s">
        <v>211</v>
      </c>
      <c r="AA20" s="53"/>
      <c r="AB20" s="53"/>
      <c r="AC20" s="53"/>
      <c r="AD20" s="53"/>
      <c r="AE20" s="53"/>
    </row>
    <row r="21" spans="1:31" s="48" customFormat="1" x14ac:dyDescent="0.25">
      <c r="A21" s="79" t="s">
        <v>130</v>
      </c>
      <c r="F21" s="79" t="s">
        <v>136</v>
      </c>
      <c r="H21" s="248" t="s">
        <v>22</v>
      </c>
      <c r="I21" s="186" t="s">
        <v>22</v>
      </c>
      <c r="J21" s="91"/>
      <c r="K21" s="197" t="s">
        <v>489</v>
      </c>
      <c r="L21" s="198" t="s">
        <v>510</v>
      </c>
      <c r="M21" s="199"/>
      <c r="N21" s="207" t="s">
        <v>489</v>
      </c>
      <c r="O21" s="208" t="s">
        <v>512</v>
      </c>
      <c r="P21" s="209"/>
      <c r="Q21" s="227" t="s">
        <v>523</v>
      </c>
      <c r="R21" s="228"/>
      <c r="S21" s="40"/>
      <c r="T21" s="229" t="s">
        <v>495</v>
      </c>
      <c r="U21" s="233" t="s">
        <v>7</v>
      </c>
      <c r="Y21" s="53"/>
      <c r="Z21" s="53"/>
      <c r="AA21" s="53"/>
      <c r="AB21" s="53"/>
      <c r="AC21" s="53"/>
      <c r="AD21" s="53"/>
      <c r="AE21" s="53"/>
    </row>
    <row r="22" spans="1:31" s="48" customFormat="1" x14ac:dyDescent="0.25">
      <c r="A22" s="40" t="s">
        <v>141</v>
      </c>
      <c r="E22" s="91"/>
      <c r="F22" s="83" t="s">
        <v>135</v>
      </c>
      <c r="G22" s="247" t="s">
        <v>7</v>
      </c>
      <c r="H22" s="247" t="s">
        <v>153</v>
      </c>
      <c r="I22" s="182" t="s">
        <v>135</v>
      </c>
      <c r="J22" s="83"/>
      <c r="K22" s="197" t="s">
        <v>511</v>
      </c>
      <c r="L22" s="199" t="s">
        <v>509</v>
      </c>
      <c r="M22" s="199"/>
      <c r="N22" s="207" t="s">
        <v>511</v>
      </c>
      <c r="O22" s="209" t="s">
        <v>509</v>
      </c>
      <c r="P22" s="209"/>
      <c r="Q22" s="223" t="s">
        <v>513</v>
      </c>
      <c r="R22" s="228"/>
      <c r="S22" s="40"/>
      <c r="T22" s="229" t="s">
        <v>496</v>
      </c>
      <c r="U22" s="83" t="s">
        <v>500</v>
      </c>
      <c r="X22" s="97"/>
      <c r="Y22" s="105" t="s">
        <v>208</v>
      </c>
      <c r="Z22" s="53"/>
      <c r="AA22" s="53"/>
      <c r="AB22" s="53"/>
      <c r="AC22" s="53"/>
      <c r="AD22" s="53"/>
      <c r="AE22" s="53"/>
    </row>
    <row r="23" spans="1:31" x14ac:dyDescent="0.25">
      <c r="A23" s="19" t="s">
        <v>34</v>
      </c>
      <c r="B23" s="19" t="s">
        <v>98</v>
      </c>
      <c r="C23" s="19" t="s">
        <v>87</v>
      </c>
      <c r="D23" s="19" t="s">
        <v>137</v>
      </c>
      <c r="E23" s="91"/>
      <c r="F23" s="19"/>
      <c r="G23" s="247" t="s">
        <v>167</v>
      </c>
      <c r="H23" s="247" t="s">
        <v>23</v>
      </c>
      <c r="I23" s="182" t="s">
        <v>274</v>
      </c>
      <c r="J23" s="182" t="s">
        <v>485</v>
      </c>
      <c r="K23" s="200" t="s">
        <v>490</v>
      </c>
      <c r="L23" s="199" t="s">
        <v>274</v>
      </c>
      <c r="M23" s="201" t="s">
        <v>485</v>
      </c>
      <c r="N23" s="210" t="s">
        <v>491</v>
      </c>
      <c r="O23" s="209" t="s">
        <v>274</v>
      </c>
      <c r="P23" s="211" t="s">
        <v>485</v>
      </c>
      <c r="Q23" s="232" t="s">
        <v>522</v>
      </c>
      <c r="R23" s="228"/>
      <c r="S23" s="40"/>
      <c r="T23" s="229" t="s">
        <v>22</v>
      </c>
      <c r="U23" s="83" t="s">
        <v>288</v>
      </c>
      <c r="V23" s="185"/>
      <c r="X23" s="93"/>
      <c r="Y23" s="53"/>
      <c r="Z23" s="53" t="s">
        <v>209</v>
      </c>
      <c r="AA23" s="53"/>
      <c r="AB23" s="53"/>
      <c r="AC23" s="53"/>
      <c r="AD23" s="53"/>
      <c r="AE23" s="53"/>
    </row>
    <row r="24" spans="1:31" s="48" customFormat="1" x14ac:dyDescent="0.25">
      <c r="A24" s="19"/>
      <c r="B24" s="19">
        <v>2000</v>
      </c>
      <c r="C24" s="19"/>
      <c r="D24" s="19"/>
      <c r="E24" s="5"/>
      <c r="F24" s="19"/>
      <c r="G24" s="85">
        <f>Estimates!O52</f>
        <v>1.0306082752182817</v>
      </c>
      <c r="H24" s="184"/>
      <c r="I24" s="186"/>
      <c r="J24" s="76"/>
      <c r="K24" s="202"/>
      <c r="L24" s="203"/>
      <c r="M24" s="203"/>
      <c r="N24" s="212"/>
      <c r="O24" s="213"/>
      <c r="P24" s="213"/>
      <c r="Q24" s="226"/>
      <c r="R24" s="221"/>
      <c r="U24" s="3">
        <f>Estimates!N52</f>
        <v>5.1530413760914096</v>
      </c>
      <c r="V24" s="99"/>
      <c r="X24" s="93"/>
      <c r="Y24" s="53"/>
      <c r="Z24" s="53" t="s">
        <v>210</v>
      </c>
      <c r="AA24" s="53"/>
      <c r="AB24" s="53"/>
      <c r="AC24" s="53"/>
      <c r="AD24" s="53"/>
      <c r="AE24" s="53"/>
    </row>
    <row r="25" spans="1:31" x14ac:dyDescent="0.25">
      <c r="B25">
        <v>2001</v>
      </c>
      <c r="C25" s="63">
        <v>3.2000000000000001E-2</v>
      </c>
      <c r="D25" s="87">
        <f>$D$10</f>
        <v>72</v>
      </c>
      <c r="E25" s="5"/>
      <c r="F25" s="96">
        <f t="shared" ref="F25:F64" si="0">-D25*$J$15</f>
        <v>-227.27250000000001</v>
      </c>
      <c r="G25" s="85">
        <f>Estimates!O53</f>
        <v>1.4611443847826073</v>
      </c>
      <c r="H25" s="85">
        <f>G25</f>
        <v>1.4611443847826073</v>
      </c>
      <c r="I25" s="187">
        <f>F25+G25</f>
        <v>-225.81135561521739</v>
      </c>
      <c r="J25" s="96"/>
      <c r="K25" s="202"/>
      <c r="L25" s="204"/>
      <c r="M25" s="204"/>
      <c r="N25" s="212"/>
      <c r="O25" s="214"/>
      <c r="P25" s="214"/>
      <c r="Q25" s="219"/>
      <c r="R25" s="221"/>
      <c r="U25" s="3">
        <f>Estimates!N53</f>
        <v>7.3057219239130369</v>
      </c>
      <c r="V25" s="98"/>
      <c r="X25" s="55"/>
    </row>
    <row r="26" spans="1:31" x14ac:dyDescent="0.25">
      <c r="B26">
        <f t="shared" ref="B26:B64" si="1">B25+1</f>
        <v>2002</v>
      </c>
      <c r="C26" s="63">
        <v>0.03</v>
      </c>
      <c r="D26" s="22">
        <f>D25+(D25*C25)</f>
        <v>74.304000000000002</v>
      </c>
      <c r="E26" s="5"/>
      <c r="F26" s="96">
        <f t="shared" si="0"/>
        <v>-234.54522000000003</v>
      </c>
      <c r="G26" s="85">
        <f>Estimates!O54</f>
        <v>1.8608597452173898</v>
      </c>
      <c r="H26" s="85">
        <f t="shared" ref="H26:H44" si="2">H25+G26</f>
        <v>3.3220041299999972</v>
      </c>
      <c r="I26" s="187">
        <f t="shared" ref="I26:I64" si="3">F26+G26</f>
        <v>-232.68436025478263</v>
      </c>
      <c r="J26" s="181">
        <f>I26-I25</f>
        <v>-6.873004639565238</v>
      </c>
      <c r="K26" s="202"/>
      <c r="L26" s="204"/>
      <c r="M26" s="204"/>
      <c r="N26" s="212"/>
      <c r="O26" s="215"/>
      <c r="P26" s="215"/>
      <c r="Q26" s="219"/>
      <c r="R26" s="221"/>
      <c r="T26" s="109">
        <f t="shared" ref="T26:T43" si="4">G26+J26</f>
        <v>-5.0121448943478484</v>
      </c>
      <c r="U26" s="3">
        <f>Estimates!N54</f>
        <v>9.3042987260869481</v>
      </c>
      <c r="V26" s="98"/>
      <c r="X26" s="55"/>
    </row>
    <row r="27" spans="1:31" x14ac:dyDescent="0.25">
      <c r="B27">
        <f t="shared" si="1"/>
        <v>2003</v>
      </c>
      <c r="C27" s="63">
        <v>0.03</v>
      </c>
      <c r="D27" s="22">
        <f t="shared" ref="D27:D64" si="5">D26+(D26*C26)</f>
        <v>76.533119999999997</v>
      </c>
      <c r="E27" s="5"/>
      <c r="F27" s="96">
        <f t="shared" si="0"/>
        <v>-241.58157660000001</v>
      </c>
      <c r="G27" s="85">
        <f>Estimates!O55</f>
        <v>1.0897935130434775</v>
      </c>
      <c r="H27" s="85">
        <f t="shared" si="2"/>
        <v>4.4117976430434744</v>
      </c>
      <c r="I27" s="187">
        <f t="shared" si="3"/>
        <v>-240.49178308695653</v>
      </c>
      <c r="J27" s="181">
        <f t="shared" ref="J27:J64" si="6">I27-I26</f>
        <v>-7.8074228321738985</v>
      </c>
      <c r="K27" s="202"/>
      <c r="L27" s="204"/>
      <c r="M27" s="204"/>
      <c r="N27" s="212"/>
      <c r="O27" s="215"/>
      <c r="P27" s="215"/>
      <c r="Q27" s="219"/>
      <c r="R27" s="221"/>
      <c r="T27" s="109">
        <f t="shared" si="4"/>
        <v>-6.7176293191304213</v>
      </c>
      <c r="U27" s="3">
        <f>Estimates!N55</f>
        <v>5.4489675652173881</v>
      </c>
      <c r="V27" s="98"/>
      <c r="X27" s="55"/>
    </row>
    <row r="28" spans="1:31" x14ac:dyDescent="0.25">
      <c r="B28">
        <f t="shared" si="1"/>
        <v>2004</v>
      </c>
      <c r="C28" s="63">
        <v>2.5999999999999999E-2</v>
      </c>
      <c r="D28" s="22">
        <f t="shared" si="5"/>
        <v>78.829113599999999</v>
      </c>
      <c r="E28" s="5"/>
      <c r="F28" s="96">
        <f t="shared" si="0"/>
        <v>-248.829023898</v>
      </c>
      <c r="G28" s="85">
        <f>Estimates!O56</f>
        <v>1.4895088734782598</v>
      </c>
      <c r="H28" s="85">
        <f t="shared" si="2"/>
        <v>5.9013065165217338</v>
      </c>
      <c r="I28" s="187">
        <f t="shared" si="3"/>
        <v>-247.33951502452175</v>
      </c>
      <c r="J28" s="181">
        <f t="shared" si="6"/>
        <v>-6.8477319375652144</v>
      </c>
      <c r="K28" s="202"/>
      <c r="L28" s="204"/>
      <c r="M28" s="204"/>
      <c r="N28" s="212"/>
      <c r="O28" s="215"/>
      <c r="P28" s="215"/>
      <c r="Q28" s="219"/>
      <c r="R28" s="221"/>
      <c r="T28" s="109">
        <f t="shared" si="4"/>
        <v>-5.358223064086955</v>
      </c>
      <c r="U28" s="3">
        <f>Estimates!N56</f>
        <v>7.4475443673913002</v>
      </c>
      <c r="V28" s="98"/>
      <c r="X28" s="55"/>
    </row>
    <row r="29" spans="1:31" x14ac:dyDescent="0.25">
      <c r="B29">
        <f t="shared" si="1"/>
        <v>2005</v>
      </c>
      <c r="C29" s="63">
        <v>2.9000000000000001E-2</v>
      </c>
      <c r="D29" s="22">
        <f t="shared" si="5"/>
        <v>80.878670553600003</v>
      </c>
      <c r="E29" s="5"/>
      <c r="F29" s="96">
        <f t="shared" si="0"/>
        <v>-255.29857851934801</v>
      </c>
      <c r="G29" s="85">
        <f>Estimates!O57</f>
        <v>1.6720119652173904</v>
      </c>
      <c r="H29" s="85">
        <f t="shared" si="2"/>
        <v>7.5733184817391237</v>
      </c>
      <c r="I29" s="187">
        <f t="shared" si="3"/>
        <v>-253.62656655413062</v>
      </c>
      <c r="J29" s="181">
        <f t="shared" si="6"/>
        <v>-6.287051529608874</v>
      </c>
      <c r="K29" s="202"/>
      <c r="L29" s="204"/>
      <c r="M29" s="204"/>
      <c r="N29" s="212"/>
      <c r="O29" s="215"/>
      <c r="P29" s="215"/>
      <c r="Q29" s="219"/>
      <c r="R29" s="221"/>
      <c r="T29" s="109">
        <f t="shared" si="4"/>
        <v>-4.6150395643914841</v>
      </c>
      <c r="U29" s="3">
        <f>Estimates!N57</f>
        <v>8.3600598260869514</v>
      </c>
      <c r="V29" s="98"/>
      <c r="X29" s="55"/>
    </row>
    <row r="30" spans="1:31" x14ac:dyDescent="0.25">
      <c r="B30">
        <f t="shared" si="1"/>
        <v>2006</v>
      </c>
      <c r="C30" s="63">
        <v>3.4000000000000002E-2</v>
      </c>
      <c r="D30" s="22">
        <f t="shared" si="5"/>
        <v>83.224151999654396</v>
      </c>
      <c r="E30" s="5"/>
      <c r="F30" s="96">
        <f t="shared" si="0"/>
        <v>-262.70223729640907</v>
      </c>
      <c r="G30" s="85">
        <f>Estimates!O58</f>
        <v>1.3732517915217386</v>
      </c>
      <c r="H30" s="85">
        <f t="shared" si="2"/>
        <v>8.9465702732608623</v>
      </c>
      <c r="I30" s="187">
        <f t="shared" si="3"/>
        <v>-261.32898550488733</v>
      </c>
      <c r="J30" s="181">
        <f t="shared" si="6"/>
        <v>-7.7024189507567087</v>
      </c>
      <c r="K30" s="202"/>
      <c r="L30" s="204"/>
      <c r="M30" s="204"/>
      <c r="N30" s="212"/>
      <c r="O30" s="215"/>
      <c r="P30" s="215"/>
      <c r="Q30" s="219"/>
      <c r="R30" s="221"/>
      <c r="T30" s="109">
        <f t="shared" si="4"/>
        <v>-6.3291671592349701</v>
      </c>
      <c r="U30" s="3">
        <f>Estimates!N58</f>
        <v>6.866258957608693</v>
      </c>
      <c r="V30" s="98"/>
    </row>
    <row r="31" spans="1:31" x14ac:dyDescent="0.25">
      <c r="B31">
        <f t="shared" si="1"/>
        <v>2007</v>
      </c>
      <c r="C31" s="63">
        <v>3.9E-2</v>
      </c>
      <c r="D31" s="22">
        <f t="shared" si="5"/>
        <v>86.053773167642646</v>
      </c>
      <c r="E31" s="5"/>
      <c r="F31" s="96">
        <f t="shared" si="0"/>
        <v>-271.63411336448701</v>
      </c>
      <c r="G31" s="85">
        <f>Estimates!O59</f>
        <v>2.2301579236956517</v>
      </c>
      <c r="H31" s="85">
        <f t="shared" si="2"/>
        <v>11.176728196956514</v>
      </c>
      <c r="I31" s="187">
        <f t="shared" si="3"/>
        <v>-269.40395544079138</v>
      </c>
      <c r="J31" s="181">
        <f t="shared" si="6"/>
        <v>-8.0749699359040505</v>
      </c>
      <c r="K31" s="202"/>
      <c r="L31" s="204"/>
      <c r="M31" s="204"/>
      <c r="N31" s="212"/>
      <c r="O31" s="215"/>
      <c r="P31" s="215"/>
      <c r="Q31" s="219"/>
      <c r="R31" s="221"/>
      <c r="T31" s="109">
        <f t="shared" si="4"/>
        <v>-5.8448120122083989</v>
      </c>
      <c r="U31" s="3">
        <f>Estimates!N59</f>
        <v>11.150789618478257</v>
      </c>
      <c r="V31" s="98"/>
      <c r="X31" s="55"/>
    </row>
    <row r="32" spans="1:31" x14ac:dyDescent="0.25">
      <c r="B32">
        <f t="shared" si="1"/>
        <v>2008</v>
      </c>
      <c r="C32" s="63">
        <v>4.2999999999999997E-2</v>
      </c>
      <c r="D32" s="22">
        <f t="shared" si="5"/>
        <v>89.409870321180705</v>
      </c>
      <c r="E32" s="5"/>
      <c r="F32" s="96">
        <f t="shared" si="0"/>
        <v>-282.22784378570196</v>
      </c>
      <c r="G32" s="85">
        <f>Estimates!O60</f>
        <v>1.800025381304347</v>
      </c>
      <c r="H32" s="85">
        <f t="shared" si="2"/>
        <v>12.976753578260862</v>
      </c>
      <c r="I32" s="187">
        <f t="shared" si="3"/>
        <v>-280.42781840439761</v>
      </c>
      <c r="J32" s="181">
        <f t="shared" si="6"/>
        <v>-11.023862963606234</v>
      </c>
      <c r="K32" s="202"/>
      <c r="L32" s="204"/>
      <c r="M32" s="204"/>
      <c r="N32" s="212"/>
      <c r="O32" s="215"/>
      <c r="P32" s="215"/>
      <c r="Q32" s="219"/>
      <c r="R32" s="221"/>
      <c r="T32" s="109">
        <f t="shared" si="4"/>
        <v>-9.2238375823018863</v>
      </c>
      <c r="U32" s="3">
        <f>Estimates!N60</f>
        <v>9.0001269065217357</v>
      </c>
      <c r="V32" s="98"/>
      <c r="X32" s="55"/>
    </row>
    <row r="33" spans="2:24" x14ac:dyDescent="0.25">
      <c r="B33">
        <f t="shared" si="1"/>
        <v>2009</v>
      </c>
      <c r="C33" s="63">
        <v>2.5000000000000001E-2</v>
      </c>
      <c r="D33" s="22">
        <f t="shared" si="5"/>
        <v>93.254494744991476</v>
      </c>
      <c r="E33" s="5"/>
      <c r="F33" s="96">
        <f t="shared" si="0"/>
        <v>-294.3636410684872</v>
      </c>
      <c r="G33" s="85">
        <f>Estimates!O61</f>
        <v>2.0508271760869561</v>
      </c>
      <c r="H33" s="85">
        <f t="shared" si="2"/>
        <v>15.027580754347818</v>
      </c>
      <c r="I33" s="187">
        <f t="shared" si="3"/>
        <v>-292.31281389240024</v>
      </c>
      <c r="J33" s="181">
        <f t="shared" si="6"/>
        <v>-11.88499548800263</v>
      </c>
      <c r="K33" s="202"/>
      <c r="L33" s="204"/>
      <c r="M33" s="204"/>
      <c r="N33" s="212"/>
      <c r="O33" s="215"/>
      <c r="P33" s="215"/>
      <c r="Q33" s="219"/>
      <c r="R33" s="221"/>
      <c r="T33" s="109">
        <f t="shared" si="4"/>
        <v>-9.8341683119156738</v>
      </c>
      <c r="U33" s="3">
        <f>Estimates!N61</f>
        <v>10.254135880434779</v>
      </c>
      <c r="V33" s="98"/>
      <c r="X33" s="55"/>
    </row>
    <row r="34" spans="2:24" x14ac:dyDescent="0.25">
      <c r="B34">
        <f t="shared" si="1"/>
        <v>2010</v>
      </c>
      <c r="C34" s="63">
        <v>3.1E-2</v>
      </c>
      <c r="D34" s="67">
        <f t="shared" si="5"/>
        <v>95.585857113616257</v>
      </c>
      <c r="E34" s="5"/>
      <c r="F34" s="96">
        <f t="shared" si="0"/>
        <v>-301.72273209519932</v>
      </c>
      <c r="G34" s="85">
        <f>Estimates!O62</f>
        <v>1.964987276086956</v>
      </c>
      <c r="H34" s="85">
        <f t="shared" si="2"/>
        <v>16.992568030434775</v>
      </c>
      <c r="I34" s="187">
        <f t="shared" si="3"/>
        <v>-299.75774481911236</v>
      </c>
      <c r="J34" s="181">
        <f t="shared" si="6"/>
        <v>-7.444930926712118</v>
      </c>
      <c r="K34" s="202"/>
      <c r="L34" s="204"/>
      <c r="M34" s="204"/>
      <c r="N34" s="212"/>
      <c r="O34" s="215"/>
      <c r="P34" s="215"/>
      <c r="Q34" s="219"/>
      <c r="R34" s="221"/>
      <c r="T34" s="109">
        <f t="shared" si="4"/>
        <v>-5.4799436506251622</v>
      </c>
      <c r="U34" s="3">
        <f>Estimates!N62</f>
        <v>9.8249363804347798</v>
      </c>
      <c r="V34" s="98"/>
      <c r="X34" s="55"/>
    </row>
    <row r="35" spans="2:24" x14ac:dyDescent="0.25">
      <c r="B35">
        <f t="shared" si="1"/>
        <v>2011</v>
      </c>
      <c r="C35" s="63">
        <v>2.4E-2</v>
      </c>
      <c r="D35" s="22">
        <f t="shared" si="5"/>
        <v>98.54901868413836</v>
      </c>
      <c r="E35" s="5"/>
      <c r="F35" s="96">
        <f t="shared" si="0"/>
        <v>-311.07613679015049</v>
      </c>
      <c r="G35" s="85">
        <f>Estimates!O63</f>
        <v>2.1971282230434777</v>
      </c>
      <c r="H35" s="85">
        <f t="shared" si="2"/>
        <v>19.189696253478253</v>
      </c>
      <c r="I35" s="187">
        <f t="shared" si="3"/>
        <v>-308.87900856710701</v>
      </c>
      <c r="J35" s="181">
        <f t="shared" si="6"/>
        <v>-9.1212637479946466</v>
      </c>
      <c r="K35" s="202"/>
      <c r="L35" s="204"/>
      <c r="M35" s="204"/>
      <c r="N35" s="212"/>
      <c r="O35" s="215"/>
      <c r="P35" s="215"/>
      <c r="Q35" s="219"/>
      <c r="R35" s="221"/>
      <c r="T35" s="109">
        <f t="shared" si="4"/>
        <v>-6.9241355249511685</v>
      </c>
      <c r="U35" s="3">
        <f>Estimates!N63</f>
        <v>10.985641115217389</v>
      </c>
      <c r="V35" s="98"/>
    </row>
    <row r="36" spans="2:24" x14ac:dyDescent="0.25">
      <c r="B36">
        <f t="shared" si="1"/>
        <v>2012</v>
      </c>
      <c r="C36" s="63">
        <v>2.1999999999999999E-2</v>
      </c>
      <c r="D36" s="22">
        <f t="shared" si="5"/>
        <v>100.91419513255768</v>
      </c>
      <c r="E36" s="5"/>
      <c r="F36" s="96">
        <f t="shared" si="0"/>
        <v>-318.54196407311412</v>
      </c>
      <c r="G36" s="85">
        <f>Estimates!O64</f>
        <v>4.0354083423913041</v>
      </c>
      <c r="H36" s="85">
        <f t="shared" si="2"/>
        <v>23.225104595869556</v>
      </c>
      <c r="I36" s="187">
        <f t="shared" si="3"/>
        <v>-314.50655573072282</v>
      </c>
      <c r="J36" s="181">
        <f t="shared" si="6"/>
        <v>-5.6275471636158159</v>
      </c>
      <c r="K36" s="202"/>
      <c r="L36" s="204"/>
      <c r="M36" s="204"/>
      <c r="N36" s="212"/>
      <c r="O36" s="215"/>
      <c r="P36" s="215"/>
      <c r="Q36" s="219"/>
      <c r="R36" s="221"/>
      <c r="T36" s="109">
        <f t="shared" si="4"/>
        <v>-1.5921388212245118</v>
      </c>
      <c r="U36" s="3">
        <f>Estimates!N64</f>
        <v>20.17704171195652</v>
      </c>
      <c r="V36" s="98"/>
    </row>
    <row r="37" spans="2:24" x14ac:dyDescent="0.25">
      <c r="B37">
        <f t="shared" si="1"/>
        <v>2013</v>
      </c>
      <c r="C37" s="63">
        <v>2.5999999999999999E-2</v>
      </c>
      <c r="D37" s="22">
        <f t="shared" si="5"/>
        <v>103.13430742547395</v>
      </c>
      <c r="E37" s="5"/>
      <c r="F37" s="96">
        <f t="shared" si="0"/>
        <v>-325.54988728272264</v>
      </c>
      <c r="G37" s="85">
        <f>Estimates!O65</f>
        <v>3.4759561245652169</v>
      </c>
      <c r="H37" s="85">
        <f t="shared" si="2"/>
        <v>26.701060720434775</v>
      </c>
      <c r="I37" s="187">
        <f t="shared" si="3"/>
        <v>-322.07393115815739</v>
      </c>
      <c r="J37" s="181">
        <f t="shared" si="6"/>
        <v>-7.5673754274345697</v>
      </c>
      <c r="K37" s="202"/>
      <c r="L37" s="204"/>
      <c r="M37" s="204"/>
      <c r="N37" s="212"/>
      <c r="O37" s="215"/>
      <c r="P37" s="215"/>
      <c r="Q37" s="219"/>
      <c r="R37" s="221"/>
      <c r="T37" s="109">
        <f t="shared" si="4"/>
        <v>-4.0914193028693528</v>
      </c>
      <c r="U37" s="3">
        <f>Estimates!N65</f>
        <v>17.379780622826082</v>
      </c>
      <c r="V37" s="98"/>
      <c r="X37" s="55"/>
    </row>
    <row r="38" spans="2:24" x14ac:dyDescent="0.25">
      <c r="B38">
        <f t="shared" si="1"/>
        <v>2014</v>
      </c>
      <c r="C38" s="63">
        <v>0.02</v>
      </c>
      <c r="D38" s="22">
        <f t="shared" si="5"/>
        <v>105.81579941853627</v>
      </c>
      <c r="E38" s="5"/>
      <c r="F38" s="96">
        <f t="shared" si="0"/>
        <v>-334.01418435207341</v>
      </c>
      <c r="G38" s="85">
        <f>Estimates!O66</f>
        <v>4.0889649756521731</v>
      </c>
      <c r="H38" s="85">
        <f t="shared" si="2"/>
        <v>30.79002569608695</v>
      </c>
      <c r="I38" s="187">
        <f t="shared" si="3"/>
        <v>-329.92521937642124</v>
      </c>
      <c r="J38" s="181">
        <f t="shared" si="6"/>
        <v>-7.8512882182638464</v>
      </c>
      <c r="K38" s="202"/>
      <c r="L38" s="204"/>
      <c r="M38" s="204"/>
      <c r="N38" s="212"/>
      <c r="O38" s="215"/>
      <c r="P38" s="215"/>
      <c r="Q38" s="219"/>
      <c r="R38" s="221"/>
      <c r="T38" s="109">
        <f t="shared" si="4"/>
        <v>-3.7623232426116733</v>
      </c>
      <c r="U38" s="3">
        <f>Estimates!N66</f>
        <v>20.444824878260864</v>
      </c>
      <c r="V38" s="98"/>
      <c r="X38" s="55"/>
    </row>
    <row r="39" spans="2:24" x14ac:dyDescent="0.25">
      <c r="B39">
        <f t="shared" si="1"/>
        <v>2015</v>
      </c>
      <c r="C39" s="63">
        <v>1.7000000000000001E-2</v>
      </c>
      <c r="D39" s="22">
        <f t="shared" si="5"/>
        <v>107.932115406907</v>
      </c>
      <c r="E39" s="5"/>
      <c r="F39" s="96">
        <f t="shared" si="0"/>
        <v>-340.69446803911489</v>
      </c>
      <c r="G39" s="85">
        <f>Estimates!O67</f>
        <v>3.1339027839130433</v>
      </c>
      <c r="H39" s="85">
        <f t="shared" si="2"/>
        <v>33.923928479999994</v>
      </c>
      <c r="I39" s="187">
        <f t="shared" si="3"/>
        <v>-337.56056525520188</v>
      </c>
      <c r="J39" s="181">
        <f t="shared" si="6"/>
        <v>-7.6353458787806403</v>
      </c>
      <c r="K39" s="202"/>
      <c r="L39" s="204"/>
      <c r="M39" s="204"/>
      <c r="N39" s="212"/>
      <c r="O39" s="215"/>
      <c r="P39" s="215"/>
      <c r="Q39" s="219"/>
      <c r="R39" s="221"/>
      <c r="T39" s="109">
        <f t="shared" si="4"/>
        <v>-4.5014430948675965</v>
      </c>
      <c r="U39" s="3">
        <f>Estimates!N67</f>
        <v>15.669513919565215</v>
      </c>
      <c r="V39" s="98"/>
      <c r="X39" s="55"/>
    </row>
    <row r="40" spans="2:24" x14ac:dyDescent="0.25">
      <c r="B40">
        <f t="shared" si="1"/>
        <v>2016</v>
      </c>
      <c r="C40" s="63">
        <v>1.6E-2</v>
      </c>
      <c r="D40" s="22">
        <f t="shared" si="5"/>
        <v>109.76696136882443</v>
      </c>
      <c r="E40" s="5"/>
      <c r="F40" s="96">
        <f t="shared" si="0"/>
        <v>-346.48627399577987</v>
      </c>
      <c r="G40" s="85">
        <f>Estimates!O68</f>
        <v>5.1410635760869559</v>
      </c>
      <c r="H40" s="85">
        <f t="shared" si="2"/>
        <v>39.06499205608695</v>
      </c>
      <c r="I40" s="187">
        <f t="shared" si="3"/>
        <v>-341.34521041969293</v>
      </c>
      <c r="J40" s="181">
        <f t="shared" si="6"/>
        <v>-3.784645164491053</v>
      </c>
      <c r="K40" s="202"/>
      <c r="L40" s="204"/>
      <c r="M40" s="204"/>
      <c r="N40" s="212"/>
      <c r="O40" s="215"/>
      <c r="P40" s="215"/>
      <c r="Q40" s="219"/>
      <c r="R40" s="221"/>
      <c r="T40" s="109">
        <f t="shared" si="4"/>
        <v>1.3564184115959028</v>
      </c>
      <c r="U40" s="3">
        <f>Estimates!N68</f>
        <v>25.70531788043478</v>
      </c>
      <c r="V40" s="98"/>
      <c r="X40" s="55"/>
    </row>
    <row r="41" spans="2:24" x14ac:dyDescent="0.25">
      <c r="B41">
        <f t="shared" si="1"/>
        <v>2017</v>
      </c>
      <c r="C41" s="63">
        <v>1.9E-2</v>
      </c>
      <c r="D41" s="22">
        <f t="shared" si="5"/>
        <v>111.52323275072561</v>
      </c>
      <c r="E41" s="5"/>
      <c r="F41" s="96">
        <f t="shared" si="0"/>
        <v>-352.03005437971234</v>
      </c>
      <c r="G41" s="85">
        <f>Estimates!O69</f>
        <v>4.6868585399999994</v>
      </c>
      <c r="H41" s="85">
        <f t="shared" si="2"/>
        <v>43.751850596086953</v>
      </c>
      <c r="I41" s="187">
        <f t="shared" si="3"/>
        <v>-347.34319583971234</v>
      </c>
      <c r="J41" s="181">
        <f t="shared" si="6"/>
        <v>-5.997985420019404</v>
      </c>
      <c r="K41" s="202"/>
      <c r="L41" s="204"/>
      <c r="M41" s="204"/>
      <c r="N41" s="212"/>
      <c r="O41" s="215"/>
      <c r="P41" s="215"/>
      <c r="Q41" s="219"/>
      <c r="R41" s="221"/>
      <c r="T41" s="109">
        <f t="shared" si="4"/>
        <v>-1.3111268800194047</v>
      </c>
      <c r="U41" s="3">
        <f>Estimates!N69</f>
        <v>23.434292699999997</v>
      </c>
      <c r="V41" s="98"/>
    </row>
    <row r="42" spans="2:24" x14ac:dyDescent="0.25">
      <c r="B42">
        <f t="shared" si="1"/>
        <v>2018</v>
      </c>
      <c r="C42" s="63">
        <v>1.4999999999999999E-2</v>
      </c>
      <c r="D42" s="22">
        <f t="shared" si="5"/>
        <v>113.6421741729894</v>
      </c>
      <c r="E42" s="5"/>
      <c r="F42" s="96">
        <f t="shared" si="0"/>
        <v>-358.71862541292688</v>
      </c>
      <c r="G42" s="85">
        <f>Estimates!O70</f>
        <v>4.0438057239130432</v>
      </c>
      <c r="H42" s="85">
        <f t="shared" si="2"/>
        <v>47.795656319999999</v>
      </c>
      <c r="I42" s="187">
        <f t="shared" si="3"/>
        <v>-354.67481968901382</v>
      </c>
      <c r="J42" s="181">
        <f t="shared" si="6"/>
        <v>-7.3316238493014794</v>
      </c>
      <c r="K42" s="202"/>
      <c r="L42" s="204"/>
      <c r="M42" s="204"/>
      <c r="N42" s="212"/>
      <c r="O42" s="215"/>
      <c r="P42" s="215"/>
      <c r="Q42" s="219"/>
      <c r="R42" s="221"/>
      <c r="T42" s="109">
        <f t="shared" si="4"/>
        <v>-3.2878181253884362</v>
      </c>
      <c r="U42" s="3">
        <f>Estimates!N70</f>
        <v>20.219028619565218</v>
      </c>
      <c r="V42" s="98"/>
      <c r="X42" s="55"/>
    </row>
    <row r="43" spans="2:24" x14ac:dyDescent="0.25">
      <c r="B43">
        <f t="shared" si="1"/>
        <v>2019</v>
      </c>
      <c r="C43" s="63">
        <v>1.7000000000000001E-2</v>
      </c>
      <c r="D43" s="22">
        <f t="shared" si="5"/>
        <v>115.34680678558423</v>
      </c>
      <c r="E43" s="5"/>
      <c r="F43" s="96">
        <f t="shared" si="0"/>
        <v>-364.09940479412074</v>
      </c>
      <c r="G43" s="85">
        <f>Estimates!O71</f>
        <v>1.8660847826086957</v>
      </c>
      <c r="H43" s="85">
        <f t="shared" si="2"/>
        <v>49.661741102608694</v>
      </c>
      <c r="I43" s="187">
        <f t="shared" si="3"/>
        <v>-362.23332001151203</v>
      </c>
      <c r="J43" s="181">
        <f t="shared" si="6"/>
        <v>-7.5585003224982188</v>
      </c>
      <c r="K43" s="202"/>
      <c r="L43" s="204">
        <f>I43</f>
        <v>-362.23332001151203</v>
      </c>
      <c r="M43" s="204"/>
      <c r="N43" s="212"/>
      <c r="O43" s="215">
        <f>I43</f>
        <v>-362.23332001151203</v>
      </c>
      <c r="P43" s="215"/>
      <c r="Q43" s="219"/>
      <c r="R43" s="221"/>
      <c r="T43" s="109">
        <f t="shared" si="4"/>
        <v>-5.6924155398895229</v>
      </c>
      <c r="U43" s="3">
        <f>Estimates!N71</f>
        <v>9.3304239130434787</v>
      </c>
      <c r="V43" s="98"/>
      <c r="X43" s="55"/>
    </row>
    <row r="44" spans="2:24" x14ac:dyDescent="0.25">
      <c r="B44">
        <f t="shared" si="1"/>
        <v>2020</v>
      </c>
      <c r="C44" s="63">
        <v>2.6000000000000002E-2</v>
      </c>
      <c r="D44" s="95">
        <f t="shared" si="5"/>
        <v>117.30770250093917</v>
      </c>
      <c r="F44" s="96">
        <f t="shared" si="0"/>
        <v>-370.28909467562085</v>
      </c>
      <c r="G44" s="84"/>
      <c r="H44" s="85">
        <f t="shared" si="2"/>
        <v>49.661741102608694</v>
      </c>
      <c r="I44" s="187">
        <f t="shared" si="3"/>
        <v>-370.28909467562085</v>
      </c>
      <c r="J44" s="181">
        <f t="shared" si="6"/>
        <v>-8.0557746641088102</v>
      </c>
      <c r="K44" s="205">
        <v>1.05</v>
      </c>
      <c r="L44" s="206">
        <f t="shared" ref="L44:L64" si="7">I44*K44</f>
        <v>-388.80354940940191</v>
      </c>
      <c r="M44" s="206"/>
      <c r="N44" s="216">
        <v>1.1000000000000001</v>
      </c>
      <c r="O44" s="217">
        <f>I44*N44</f>
        <v>-407.31800414318297</v>
      </c>
      <c r="P44" s="217"/>
      <c r="Q44" s="219">
        <f t="shared" ref="Q44:Q53" si="8">J44</f>
        <v>-8.0557746641088102</v>
      </c>
      <c r="R44" s="220" t="s">
        <v>487</v>
      </c>
      <c r="S44" s="221"/>
      <c r="T44" s="6"/>
      <c r="X44" s="55"/>
    </row>
    <row r="45" spans="2:24" x14ac:dyDescent="0.25">
      <c r="B45">
        <f t="shared" si="1"/>
        <v>2021</v>
      </c>
      <c r="C45" s="63">
        <v>2.6000000000000002E-2</v>
      </c>
      <c r="D45" s="22">
        <f t="shared" si="5"/>
        <v>120.35770276596359</v>
      </c>
      <c r="F45" s="96">
        <f t="shared" si="0"/>
        <v>-379.91661113718698</v>
      </c>
      <c r="G45" s="84"/>
      <c r="I45" s="187">
        <f t="shared" si="3"/>
        <v>-379.91661113718698</v>
      </c>
      <c r="J45" s="181">
        <f t="shared" si="6"/>
        <v>-9.6275164615661311</v>
      </c>
      <c r="K45" s="205">
        <f t="shared" ref="K45:K64" si="9">K44+0.0005</f>
        <v>1.0505</v>
      </c>
      <c r="L45" s="206">
        <f t="shared" si="7"/>
        <v>-399.10239999961493</v>
      </c>
      <c r="M45" s="206">
        <f t="shared" ref="M45:M64" si="10">L45-L44</f>
        <v>-10.298850590213021</v>
      </c>
      <c r="N45" s="216">
        <f>N44+0.001</f>
        <v>1.101</v>
      </c>
      <c r="O45" s="217">
        <f t="shared" ref="O45:O64" si="11">I45*N45</f>
        <v>-418.28818886204283</v>
      </c>
      <c r="P45" s="217">
        <f t="shared" ref="P45:P64" si="12">O45-O44</f>
        <v>-10.970184718859855</v>
      </c>
      <c r="Q45" s="219">
        <f t="shared" si="8"/>
        <v>-9.6275164615661311</v>
      </c>
      <c r="R45" s="220"/>
      <c r="S45" s="221"/>
      <c r="T45" s="6"/>
      <c r="X45" s="55"/>
    </row>
    <row r="46" spans="2:24" x14ac:dyDescent="0.25">
      <c r="B46">
        <f t="shared" si="1"/>
        <v>2022</v>
      </c>
      <c r="C46" s="63">
        <v>2.6000000000000002E-2</v>
      </c>
      <c r="D46" s="67">
        <f t="shared" si="5"/>
        <v>123.48700303787865</v>
      </c>
      <c r="F46" s="96">
        <f t="shared" si="0"/>
        <v>-389.79444302675387</v>
      </c>
      <c r="G46" s="84"/>
      <c r="I46" s="187">
        <f t="shared" si="3"/>
        <v>-389.79444302675387</v>
      </c>
      <c r="J46" s="181">
        <f t="shared" si="6"/>
        <v>-9.8778318895668917</v>
      </c>
      <c r="K46" s="205">
        <f t="shared" si="9"/>
        <v>1.0509999999999999</v>
      </c>
      <c r="L46" s="206">
        <f t="shared" si="7"/>
        <v>-409.67395962111829</v>
      </c>
      <c r="M46" s="206">
        <f t="shared" si="10"/>
        <v>-10.571559621503354</v>
      </c>
      <c r="N46" s="216">
        <f t="shared" ref="N46:N64" si="13">N45+0.001</f>
        <v>1.1019999999999999</v>
      </c>
      <c r="O46" s="217">
        <f t="shared" si="11"/>
        <v>-429.5534762154827</v>
      </c>
      <c r="P46" s="217">
        <f t="shared" si="12"/>
        <v>-11.265287353439874</v>
      </c>
      <c r="Q46" s="219">
        <f t="shared" si="8"/>
        <v>-9.8778318895668917</v>
      </c>
      <c r="R46" s="220"/>
      <c r="S46" s="221"/>
      <c r="T46" s="6"/>
    </row>
    <row r="47" spans="2:24" x14ac:dyDescent="0.25">
      <c r="B47">
        <f t="shared" si="1"/>
        <v>2023</v>
      </c>
      <c r="C47" s="63">
        <v>2.6000000000000002E-2</v>
      </c>
      <c r="D47" s="22">
        <f t="shared" si="5"/>
        <v>126.69766511686349</v>
      </c>
      <c r="F47" s="96">
        <f t="shared" si="0"/>
        <v>-399.92909854544945</v>
      </c>
      <c r="G47" s="84"/>
      <c r="I47" s="187">
        <f t="shared" si="3"/>
        <v>-399.92909854544945</v>
      </c>
      <c r="J47" s="181">
        <f t="shared" si="6"/>
        <v>-10.134655518695581</v>
      </c>
      <c r="K47" s="205">
        <f t="shared" si="9"/>
        <v>1.0514999999999999</v>
      </c>
      <c r="L47" s="206">
        <f t="shared" si="7"/>
        <v>-420.52544712054004</v>
      </c>
      <c r="M47" s="206">
        <f t="shared" si="10"/>
        <v>-10.851487499421751</v>
      </c>
      <c r="N47" s="216">
        <f t="shared" si="13"/>
        <v>1.1029999999999998</v>
      </c>
      <c r="O47" s="217">
        <f t="shared" si="11"/>
        <v>-441.12179569563062</v>
      </c>
      <c r="P47" s="217">
        <f t="shared" si="12"/>
        <v>-11.56831948014792</v>
      </c>
      <c r="Q47" s="219">
        <f t="shared" si="8"/>
        <v>-10.134655518695581</v>
      </c>
      <c r="R47" s="220"/>
      <c r="S47" s="221"/>
      <c r="T47" s="6"/>
    </row>
    <row r="48" spans="2:24" x14ac:dyDescent="0.25">
      <c r="B48">
        <f t="shared" si="1"/>
        <v>2024</v>
      </c>
      <c r="C48" s="63">
        <v>2.6000000000000002E-2</v>
      </c>
      <c r="D48" s="22">
        <f t="shared" si="5"/>
        <v>129.99180440990193</v>
      </c>
      <c r="F48" s="96">
        <f t="shared" si="0"/>
        <v>-410.32725510763106</v>
      </c>
      <c r="G48" s="84"/>
      <c r="I48" s="187">
        <f t="shared" si="3"/>
        <v>-410.32725510763106</v>
      </c>
      <c r="J48" s="181">
        <f t="shared" si="6"/>
        <v>-10.398156562181612</v>
      </c>
      <c r="K48" s="205">
        <f t="shared" si="9"/>
        <v>1.0519999999999998</v>
      </c>
      <c r="L48" s="206">
        <f t="shared" si="7"/>
        <v>-431.66427237322779</v>
      </c>
      <c r="M48" s="206">
        <f t="shared" si="10"/>
        <v>-11.138825252687752</v>
      </c>
      <c r="N48" s="216">
        <f t="shared" si="13"/>
        <v>1.1039999999999996</v>
      </c>
      <c r="O48" s="217">
        <f t="shared" si="11"/>
        <v>-453.00128963882457</v>
      </c>
      <c r="P48" s="217">
        <f t="shared" si="12"/>
        <v>-11.87949394319395</v>
      </c>
      <c r="Q48" s="219">
        <f t="shared" si="8"/>
        <v>-10.398156562181612</v>
      </c>
      <c r="R48" s="220"/>
      <c r="S48" s="221"/>
      <c r="T48" s="6"/>
    </row>
    <row r="49" spans="2:20" x14ac:dyDescent="0.25">
      <c r="B49">
        <f t="shared" si="1"/>
        <v>2025</v>
      </c>
      <c r="C49" s="63">
        <v>2.6000000000000002E-2</v>
      </c>
      <c r="D49" s="22">
        <f t="shared" si="5"/>
        <v>133.37159132455938</v>
      </c>
      <c r="F49" s="96">
        <f t="shared" si="0"/>
        <v>-420.99576374042948</v>
      </c>
      <c r="G49" s="84"/>
      <c r="I49" s="187">
        <f t="shared" si="3"/>
        <v>-420.99576374042948</v>
      </c>
      <c r="J49" s="181">
        <f t="shared" si="6"/>
        <v>-10.668508632798421</v>
      </c>
      <c r="K49" s="205">
        <f t="shared" si="9"/>
        <v>1.0524999999999998</v>
      </c>
      <c r="L49" s="206">
        <f t="shared" si="7"/>
        <v>-443.09804133680194</v>
      </c>
      <c r="M49" s="206">
        <f t="shared" si="10"/>
        <v>-11.433768963574153</v>
      </c>
      <c r="N49" s="216">
        <f t="shared" si="13"/>
        <v>1.1049999999999995</v>
      </c>
      <c r="O49" s="217">
        <f t="shared" si="11"/>
        <v>-465.2003189331744</v>
      </c>
      <c r="P49" s="217">
        <f t="shared" si="12"/>
        <v>-12.199029294349828</v>
      </c>
      <c r="Q49" s="219">
        <f t="shared" si="8"/>
        <v>-10.668508632798421</v>
      </c>
      <c r="R49" s="220" t="s">
        <v>486</v>
      </c>
      <c r="S49" s="221"/>
      <c r="T49" s="6"/>
    </row>
    <row r="50" spans="2:20" x14ac:dyDescent="0.25">
      <c r="B50">
        <f t="shared" si="1"/>
        <v>2026</v>
      </c>
      <c r="C50" s="63">
        <v>2.6000000000000002E-2</v>
      </c>
      <c r="D50" s="95">
        <f t="shared" si="5"/>
        <v>136.83925269899791</v>
      </c>
      <c r="F50" s="96">
        <f t="shared" si="0"/>
        <v>-431.94165359768061</v>
      </c>
      <c r="G50" s="84"/>
      <c r="I50" s="187">
        <f t="shared" si="3"/>
        <v>-431.94165359768061</v>
      </c>
      <c r="J50" s="181">
        <f t="shared" si="6"/>
        <v>-10.945889857251132</v>
      </c>
      <c r="K50" s="205">
        <f t="shared" si="9"/>
        <v>1.0529999999999997</v>
      </c>
      <c r="L50" s="206">
        <f t="shared" si="7"/>
        <v>-454.83456123835754</v>
      </c>
      <c r="M50" s="206">
        <f t="shared" si="10"/>
        <v>-11.736519901555596</v>
      </c>
      <c r="N50" s="216">
        <f t="shared" si="13"/>
        <v>1.1059999999999994</v>
      </c>
      <c r="O50" s="217">
        <f t="shared" si="11"/>
        <v>-477.72746887903452</v>
      </c>
      <c r="P50" s="217">
        <f t="shared" si="12"/>
        <v>-12.527149945860117</v>
      </c>
      <c r="Q50" s="219">
        <f t="shared" si="8"/>
        <v>-10.945889857251132</v>
      </c>
      <c r="R50" s="220"/>
      <c r="S50" s="221"/>
      <c r="T50" s="6"/>
    </row>
    <row r="51" spans="2:20" x14ac:dyDescent="0.25">
      <c r="B51">
        <f t="shared" si="1"/>
        <v>2027</v>
      </c>
      <c r="C51" s="63">
        <v>2.6000000000000002E-2</v>
      </c>
      <c r="D51" s="22">
        <f t="shared" si="5"/>
        <v>140.39707326917187</v>
      </c>
      <c r="F51" s="96">
        <f t="shared" si="0"/>
        <v>-443.17213659122035</v>
      </c>
      <c r="G51" s="84"/>
      <c r="I51" s="187">
        <f t="shared" si="3"/>
        <v>-443.17213659122035</v>
      </c>
      <c r="J51" s="181">
        <f t="shared" si="6"/>
        <v>-11.230482993539738</v>
      </c>
      <c r="K51" s="205">
        <f t="shared" si="9"/>
        <v>1.0534999999999997</v>
      </c>
      <c r="L51" s="206">
        <f t="shared" si="7"/>
        <v>-466.88184589885049</v>
      </c>
      <c r="M51" s="206">
        <f t="shared" si="10"/>
        <v>-12.047284660492949</v>
      </c>
      <c r="N51" s="216">
        <f t="shared" si="13"/>
        <v>1.1069999999999993</v>
      </c>
      <c r="O51" s="217">
        <f t="shared" si="11"/>
        <v>-490.59155520648062</v>
      </c>
      <c r="P51" s="217">
        <f t="shared" si="12"/>
        <v>-12.864086327446103</v>
      </c>
      <c r="Q51" s="219">
        <f t="shared" si="8"/>
        <v>-11.230482993539738</v>
      </c>
      <c r="R51" s="220"/>
      <c r="S51" s="221"/>
      <c r="T51" s="6"/>
    </row>
    <row r="52" spans="2:20" x14ac:dyDescent="0.25">
      <c r="B52">
        <f t="shared" si="1"/>
        <v>2028</v>
      </c>
      <c r="C52" s="63">
        <v>2.6000000000000002E-2</v>
      </c>
      <c r="D52" s="22">
        <f t="shared" si="5"/>
        <v>144.04739717417033</v>
      </c>
      <c r="F52" s="96">
        <f t="shared" si="0"/>
        <v>-454.69461214259206</v>
      </c>
      <c r="G52" s="84"/>
      <c r="I52" s="187">
        <f t="shared" si="3"/>
        <v>-454.69461214259206</v>
      </c>
      <c r="J52" s="181">
        <f t="shared" si="6"/>
        <v>-11.522475551371713</v>
      </c>
      <c r="K52" s="205">
        <f t="shared" si="9"/>
        <v>1.0539999999999996</v>
      </c>
      <c r="L52" s="206">
        <f t="shared" si="7"/>
        <v>-479.24812119829187</v>
      </c>
      <c r="M52" s="206">
        <f t="shared" si="10"/>
        <v>-12.366275299441384</v>
      </c>
      <c r="N52" s="216">
        <f t="shared" si="13"/>
        <v>1.1079999999999992</v>
      </c>
      <c r="O52" s="217">
        <f t="shared" si="11"/>
        <v>-503.80163025399162</v>
      </c>
      <c r="P52" s="217">
        <f t="shared" si="12"/>
        <v>-13.210075047510998</v>
      </c>
      <c r="Q52" s="219">
        <f t="shared" si="8"/>
        <v>-11.522475551371713</v>
      </c>
      <c r="R52" s="220"/>
      <c r="S52" s="221"/>
      <c r="T52" s="6"/>
    </row>
    <row r="53" spans="2:20" x14ac:dyDescent="0.25">
      <c r="B53">
        <f t="shared" si="1"/>
        <v>2029</v>
      </c>
      <c r="C53" s="63">
        <v>2.6000000000000002E-2</v>
      </c>
      <c r="D53" s="22">
        <f t="shared" si="5"/>
        <v>147.79262950069875</v>
      </c>
      <c r="F53" s="96">
        <f t="shared" si="0"/>
        <v>-466.51667205829943</v>
      </c>
      <c r="G53" s="84"/>
      <c r="I53" s="187">
        <f t="shared" si="3"/>
        <v>-466.51667205829943</v>
      </c>
      <c r="J53" s="181">
        <f t="shared" si="6"/>
        <v>-11.822059915707371</v>
      </c>
      <c r="K53" s="205">
        <f t="shared" si="9"/>
        <v>1.0544999999999995</v>
      </c>
      <c r="L53" s="206">
        <f t="shared" si="7"/>
        <v>-491.94183068547653</v>
      </c>
      <c r="M53" s="206">
        <f t="shared" si="10"/>
        <v>-12.693709487184663</v>
      </c>
      <c r="N53" s="216">
        <f t="shared" si="13"/>
        <v>1.1089999999999991</v>
      </c>
      <c r="O53" s="217">
        <f t="shared" si="11"/>
        <v>-517.36698931265369</v>
      </c>
      <c r="P53" s="217">
        <f t="shared" si="12"/>
        <v>-13.565359058662068</v>
      </c>
      <c r="Q53" s="219">
        <f t="shared" si="8"/>
        <v>-11.822059915707371</v>
      </c>
      <c r="R53" s="220" t="s">
        <v>488</v>
      </c>
      <c r="S53" s="221"/>
      <c r="T53" s="6"/>
    </row>
    <row r="54" spans="2:20" x14ac:dyDescent="0.25">
      <c r="B54">
        <f t="shared" si="1"/>
        <v>2030</v>
      </c>
      <c r="C54" s="63">
        <v>2.6000000000000002E-2</v>
      </c>
      <c r="D54" s="95">
        <f t="shared" si="5"/>
        <v>151.63523786771691</v>
      </c>
      <c r="F54" s="96">
        <f t="shared" si="0"/>
        <v>-478.64610553181518</v>
      </c>
      <c r="G54" s="84"/>
      <c r="I54" s="187">
        <f t="shared" si="3"/>
        <v>-478.64610553181518</v>
      </c>
      <c r="J54" s="181">
        <f t="shared" si="6"/>
        <v>-12.129433473515746</v>
      </c>
      <c r="K54" s="205">
        <f t="shared" si="9"/>
        <v>1.0549999999999995</v>
      </c>
      <c r="L54" s="206">
        <f t="shared" si="7"/>
        <v>-504.97164133606475</v>
      </c>
      <c r="M54" s="206">
        <f t="shared" si="10"/>
        <v>-13.029810650588217</v>
      </c>
      <c r="N54" s="216">
        <f t="shared" si="13"/>
        <v>1.109999999999999</v>
      </c>
      <c r="O54" s="217">
        <f t="shared" si="11"/>
        <v>-531.29717714031437</v>
      </c>
      <c r="P54" s="217">
        <f t="shared" si="12"/>
        <v>-13.930187827660689</v>
      </c>
      <c r="Q54" s="222">
        <f>SUM(Q44:Q53)</f>
        <v>-104.2833520467874</v>
      </c>
      <c r="R54" s="221"/>
      <c r="S54" s="221"/>
      <c r="T54" s="6"/>
    </row>
    <row r="55" spans="2:20" x14ac:dyDescent="0.25">
      <c r="B55">
        <f t="shared" si="1"/>
        <v>2031</v>
      </c>
      <c r="C55" s="63">
        <v>2.6000000000000002E-2</v>
      </c>
      <c r="D55" s="22">
        <f t="shared" si="5"/>
        <v>155.57775405227756</v>
      </c>
      <c r="F55" s="96">
        <f t="shared" si="0"/>
        <v>-491.0909042756424</v>
      </c>
      <c r="G55" s="84"/>
      <c r="I55" s="187">
        <f t="shared" si="3"/>
        <v>-491.0909042756424</v>
      </c>
      <c r="J55" s="181">
        <f t="shared" si="6"/>
        <v>-12.444798743827221</v>
      </c>
      <c r="K55" s="205">
        <f t="shared" si="9"/>
        <v>1.0554999999999994</v>
      </c>
      <c r="L55" s="206">
        <f t="shared" si="7"/>
        <v>-518.34644946294031</v>
      </c>
      <c r="M55" s="206">
        <f t="shared" si="10"/>
        <v>-13.374808126875564</v>
      </c>
      <c r="N55" s="216">
        <f t="shared" si="13"/>
        <v>1.1109999999999989</v>
      </c>
      <c r="O55" s="217">
        <f t="shared" si="11"/>
        <v>-545.60199465023811</v>
      </c>
      <c r="P55" s="217">
        <f t="shared" si="12"/>
        <v>-14.304817509923737</v>
      </c>
      <c r="Q55" s="181"/>
      <c r="T55" s="6"/>
    </row>
    <row r="56" spans="2:20" s="48" customFormat="1" x14ac:dyDescent="0.25">
      <c r="B56" s="48">
        <f t="shared" si="1"/>
        <v>2032</v>
      </c>
      <c r="C56" s="63">
        <v>2.6000000000000002E-2</v>
      </c>
      <c r="D56" s="22">
        <f t="shared" si="5"/>
        <v>159.62277565763677</v>
      </c>
      <c r="F56" s="96">
        <f t="shared" si="0"/>
        <v>-503.85926778680908</v>
      </c>
      <c r="G56" s="84"/>
      <c r="I56" s="187">
        <f t="shared" si="3"/>
        <v>-503.85926778680908</v>
      </c>
      <c r="J56" s="181">
        <f t="shared" si="6"/>
        <v>-12.768363511166683</v>
      </c>
      <c r="K56" s="205">
        <f t="shared" si="9"/>
        <v>1.0559999999999994</v>
      </c>
      <c r="L56" s="206">
        <f t="shared" si="7"/>
        <v>-532.07538678287005</v>
      </c>
      <c r="M56" s="206">
        <f t="shared" si="10"/>
        <v>-13.728937319929742</v>
      </c>
      <c r="N56" s="216">
        <f t="shared" si="13"/>
        <v>1.1119999999999988</v>
      </c>
      <c r="O56" s="217">
        <f t="shared" si="11"/>
        <v>-560.29150577893108</v>
      </c>
      <c r="P56" s="217">
        <f t="shared" si="12"/>
        <v>-14.68951112869297</v>
      </c>
      <c r="Q56" s="181"/>
      <c r="T56" s="6"/>
    </row>
    <row r="57" spans="2:20" s="48" customFormat="1" x14ac:dyDescent="0.25">
      <c r="B57" s="48">
        <f t="shared" si="1"/>
        <v>2033</v>
      </c>
      <c r="C57" s="63">
        <v>2.6000000000000002E-2</v>
      </c>
      <c r="D57" s="22">
        <f t="shared" si="5"/>
        <v>163.77296782473533</v>
      </c>
      <c r="F57" s="96">
        <f t="shared" si="0"/>
        <v>-516.95960874926618</v>
      </c>
      <c r="G57" s="84"/>
      <c r="I57" s="187">
        <f t="shared" si="3"/>
        <v>-516.95960874926618</v>
      </c>
      <c r="J57" s="181">
        <f t="shared" si="6"/>
        <v>-13.100340962457096</v>
      </c>
      <c r="K57" s="205">
        <f t="shared" si="9"/>
        <v>1.0564999999999993</v>
      </c>
      <c r="L57" s="206">
        <f t="shared" si="7"/>
        <v>-546.16782664359937</v>
      </c>
      <c r="M57" s="206">
        <f t="shared" si="10"/>
        <v>-14.092439860729314</v>
      </c>
      <c r="N57" s="216">
        <f t="shared" si="13"/>
        <v>1.1129999999999987</v>
      </c>
      <c r="O57" s="217">
        <f t="shared" si="11"/>
        <v>-575.37604453793256</v>
      </c>
      <c r="P57" s="217">
        <f t="shared" si="12"/>
        <v>-15.084538759001475</v>
      </c>
      <c r="Q57" s="181"/>
      <c r="T57" s="6"/>
    </row>
    <row r="58" spans="2:20" s="48" customFormat="1" x14ac:dyDescent="0.25">
      <c r="B58" s="48">
        <f t="shared" si="1"/>
        <v>2034</v>
      </c>
      <c r="C58" s="63">
        <v>2.6000000000000002E-2</v>
      </c>
      <c r="D58" s="22">
        <f t="shared" si="5"/>
        <v>168.03106498817846</v>
      </c>
      <c r="F58" s="96">
        <f t="shared" si="0"/>
        <v>-530.40055857674713</v>
      </c>
      <c r="G58" s="84"/>
      <c r="I58" s="187">
        <f t="shared" si="3"/>
        <v>-530.40055857674713</v>
      </c>
      <c r="J58" s="181">
        <f t="shared" si="6"/>
        <v>-13.440949827480949</v>
      </c>
      <c r="K58" s="205">
        <f t="shared" si="9"/>
        <v>1.0569999999999993</v>
      </c>
      <c r="L58" s="206">
        <f t="shared" si="7"/>
        <v>-560.63339041562131</v>
      </c>
      <c r="M58" s="206">
        <f t="shared" si="10"/>
        <v>-14.465563772021937</v>
      </c>
      <c r="N58" s="216">
        <f t="shared" si="13"/>
        <v>1.1139999999999985</v>
      </c>
      <c r="O58" s="217">
        <f t="shared" si="11"/>
        <v>-590.86622225449548</v>
      </c>
      <c r="P58" s="217">
        <f t="shared" si="12"/>
        <v>-15.490177716562926</v>
      </c>
      <c r="Q58" s="181"/>
      <c r="T58" s="6"/>
    </row>
    <row r="59" spans="2:20" s="48" customFormat="1" x14ac:dyDescent="0.25">
      <c r="B59" s="48">
        <f t="shared" si="1"/>
        <v>2035</v>
      </c>
      <c r="C59" s="63">
        <v>2.6000000000000002E-2</v>
      </c>
      <c r="D59" s="22">
        <f t="shared" si="5"/>
        <v>172.39987267787109</v>
      </c>
      <c r="F59" s="96">
        <f t="shared" si="0"/>
        <v>-544.19097309974245</v>
      </c>
      <c r="G59" s="84"/>
      <c r="I59" s="187">
        <f t="shared" si="3"/>
        <v>-544.19097309974245</v>
      </c>
      <c r="J59" s="181">
        <f t="shared" si="6"/>
        <v>-13.79041452299532</v>
      </c>
      <c r="K59" s="205">
        <f t="shared" si="9"/>
        <v>1.0574999999999992</v>
      </c>
      <c r="L59" s="206">
        <f t="shared" si="7"/>
        <v>-575.48195405297724</v>
      </c>
      <c r="M59" s="206">
        <f t="shared" si="10"/>
        <v>-14.848563637355937</v>
      </c>
      <c r="N59" s="216">
        <f t="shared" si="13"/>
        <v>1.1149999999999984</v>
      </c>
      <c r="O59" s="217">
        <f t="shared" si="11"/>
        <v>-606.77293500621204</v>
      </c>
      <c r="P59" s="217">
        <f t="shared" si="12"/>
        <v>-15.906712751716555</v>
      </c>
      <c r="Q59" s="181"/>
      <c r="T59" s="6"/>
    </row>
    <row r="60" spans="2:20" x14ac:dyDescent="0.25">
      <c r="B60" s="48">
        <f t="shared" si="1"/>
        <v>2036</v>
      </c>
      <c r="C60" s="63">
        <v>2.6000000000000002E-2</v>
      </c>
      <c r="D60" s="22">
        <f t="shared" si="5"/>
        <v>176.88226936749572</v>
      </c>
      <c r="F60" s="96">
        <f t="shared" si="0"/>
        <v>-558.33993840033577</v>
      </c>
      <c r="I60" s="187">
        <f t="shared" si="3"/>
        <v>-558.33993840033577</v>
      </c>
      <c r="J60" s="181">
        <f t="shared" si="6"/>
        <v>-14.148965300593318</v>
      </c>
      <c r="K60" s="205">
        <f t="shared" si="9"/>
        <v>1.0579999999999992</v>
      </c>
      <c r="L60" s="206">
        <f t="shared" si="7"/>
        <v>-590.72365482755481</v>
      </c>
      <c r="M60" s="206">
        <f t="shared" si="10"/>
        <v>-15.241700774577566</v>
      </c>
      <c r="N60" s="216">
        <f t="shared" si="13"/>
        <v>1.1159999999999983</v>
      </c>
      <c r="O60" s="217">
        <f t="shared" si="11"/>
        <v>-623.10737125477374</v>
      </c>
      <c r="P60" s="217">
        <f t="shared" si="12"/>
        <v>-16.334436248561701</v>
      </c>
      <c r="Q60" s="181"/>
      <c r="T60" s="6"/>
    </row>
    <row r="61" spans="2:20" s="48" customFormat="1" x14ac:dyDescent="0.25">
      <c r="B61" s="48">
        <f t="shared" si="1"/>
        <v>2037</v>
      </c>
      <c r="C61" s="63">
        <v>2.6000000000000002E-2</v>
      </c>
      <c r="D61" s="22">
        <f t="shared" si="5"/>
        <v>181.48120837105063</v>
      </c>
      <c r="F61" s="96">
        <f t="shared" si="0"/>
        <v>-572.85677679874448</v>
      </c>
      <c r="I61" s="187">
        <f t="shared" si="3"/>
        <v>-572.85677679874448</v>
      </c>
      <c r="J61" s="181">
        <f t="shared" si="6"/>
        <v>-14.516838398408709</v>
      </c>
      <c r="K61" s="205">
        <f t="shared" si="9"/>
        <v>1.0584999999999991</v>
      </c>
      <c r="L61" s="206">
        <f t="shared" si="7"/>
        <v>-606.36889824147056</v>
      </c>
      <c r="M61" s="206">
        <f t="shared" si="10"/>
        <v>-15.64524341391575</v>
      </c>
      <c r="N61" s="216">
        <f t="shared" si="13"/>
        <v>1.1169999999999982</v>
      </c>
      <c r="O61" s="217">
        <f t="shared" si="11"/>
        <v>-639.88101968419653</v>
      </c>
      <c r="P61" s="217">
        <f t="shared" si="12"/>
        <v>-16.773648429422792</v>
      </c>
      <c r="Q61" s="181"/>
      <c r="T61" s="6"/>
    </row>
    <row r="62" spans="2:20" s="48" customFormat="1" x14ac:dyDescent="0.25">
      <c r="B62" s="48">
        <f t="shared" si="1"/>
        <v>2038</v>
      </c>
      <c r="C62" s="63">
        <v>2.6000000000000002E-2</v>
      </c>
      <c r="D62" s="22">
        <f t="shared" si="5"/>
        <v>186.19971978869793</v>
      </c>
      <c r="F62" s="96">
        <f t="shared" si="0"/>
        <v>-587.75105299551183</v>
      </c>
      <c r="I62" s="187">
        <f t="shared" si="3"/>
        <v>-587.75105299551183</v>
      </c>
      <c r="J62" s="181">
        <f t="shared" si="6"/>
        <v>-14.89427619676735</v>
      </c>
      <c r="K62" s="205">
        <f t="shared" si="9"/>
        <v>1.0589999999999991</v>
      </c>
      <c r="L62" s="206">
        <f t="shared" si="7"/>
        <v>-622.42836512224642</v>
      </c>
      <c r="M62" s="206">
        <f t="shared" si="10"/>
        <v>-16.059466880775858</v>
      </c>
      <c r="N62" s="216">
        <f t="shared" si="13"/>
        <v>1.1179999999999981</v>
      </c>
      <c r="O62" s="217">
        <f t="shared" si="11"/>
        <v>-657.10567724898112</v>
      </c>
      <c r="P62" s="217">
        <f t="shared" si="12"/>
        <v>-17.224657564784593</v>
      </c>
      <c r="Q62" s="181"/>
      <c r="T62" s="6"/>
    </row>
    <row r="63" spans="2:20" s="48" customFormat="1" x14ac:dyDescent="0.25">
      <c r="B63" s="48">
        <f t="shared" si="1"/>
        <v>2039</v>
      </c>
      <c r="C63" s="63">
        <v>2.6000000000000002E-2</v>
      </c>
      <c r="D63" s="22">
        <f t="shared" si="5"/>
        <v>191.04091250320408</v>
      </c>
      <c r="F63" s="96">
        <f t="shared" si="0"/>
        <v>-603.03258037339515</v>
      </c>
      <c r="I63" s="187">
        <f t="shared" si="3"/>
        <v>-603.03258037339515</v>
      </c>
      <c r="J63" s="181">
        <f t="shared" si="6"/>
        <v>-15.281527377883322</v>
      </c>
      <c r="K63" s="205">
        <f t="shared" si="9"/>
        <v>1.059499999999999</v>
      </c>
      <c r="L63" s="206">
        <f t="shared" si="7"/>
        <v>-638.91301890561158</v>
      </c>
      <c r="M63" s="206">
        <f t="shared" si="10"/>
        <v>-16.484653783365161</v>
      </c>
      <c r="N63" s="216">
        <f t="shared" si="13"/>
        <v>1.118999999999998</v>
      </c>
      <c r="O63" s="217">
        <f t="shared" si="11"/>
        <v>-674.79345743782801</v>
      </c>
      <c r="P63" s="217">
        <f t="shared" si="12"/>
        <v>-17.687780188846887</v>
      </c>
      <c r="Q63" s="181"/>
      <c r="T63" s="6"/>
    </row>
    <row r="64" spans="2:20" s="48" customFormat="1" x14ac:dyDescent="0.25">
      <c r="B64" s="48">
        <f t="shared" si="1"/>
        <v>2040</v>
      </c>
      <c r="C64" s="63">
        <v>2.6000000000000002E-2</v>
      </c>
      <c r="D64" s="22">
        <f t="shared" si="5"/>
        <v>196.00797622828739</v>
      </c>
      <c r="F64" s="96">
        <f t="shared" si="0"/>
        <v>-618.7114274631034</v>
      </c>
      <c r="I64" s="187">
        <f t="shared" si="3"/>
        <v>-618.7114274631034</v>
      </c>
      <c r="J64" s="181">
        <f t="shared" si="6"/>
        <v>-15.678847089708256</v>
      </c>
      <c r="K64" s="205">
        <f t="shared" si="9"/>
        <v>1.0599999999999989</v>
      </c>
      <c r="L64" s="206">
        <f t="shared" si="7"/>
        <v>-655.83411311088901</v>
      </c>
      <c r="M64" s="206">
        <f t="shared" si="10"/>
        <v>-16.921094205277427</v>
      </c>
      <c r="N64" s="216">
        <f t="shared" si="13"/>
        <v>1.1199999999999979</v>
      </c>
      <c r="O64" s="217">
        <f t="shared" si="11"/>
        <v>-692.95679875867449</v>
      </c>
      <c r="P64" s="217">
        <f t="shared" si="12"/>
        <v>-18.163341320846484</v>
      </c>
      <c r="Q64" s="181"/>
      <c r="T64" s="6"/>
    </row>
    <row r="65" spans="1:18" s="48" customFormat="1" x14ac:dyDescent="0.25">
      <c r="F65" s="55"/>
      <c r="I65" s="218"/>
      <c r="J65" s="218"/>
      <c r="K65" s="218"/>
      <c r="L65" s="218"/>
      <c r="M65" s="218"/>
      <c r="N65" s="183"/>
      <c r="Q65" s="181"/>
      <c r="R65" s="77"/>
    </row>
    <row r="67" spans="1:18" x14ac:dyDescent="0.25">
      <c r="A67" t="s">
        <v>492</v>
      </c>
    </row>
    <row r="95" spans="14:14" x14ac:dyDescent="0.25">
      <c r="N95" s="48"/>
    </row>
    <row r="96" spans="14:14" x14ac:dyDescent="0.25">
      <c r="N96" s="48"/>
    </row>
    <row r="97" spans="14:14" x14ac:dyDescent="0.25">
      <c r="N97" s="48"/>
    </row>
    <row r="98" spans="14:14" x14ac:dyDescent="0.25">
      <c r="N98" s="48"/>
    </row>
    <row r="100" spans="14:14" x14ac:dyDescent="0.25">
      <c r="N100" s="48"/>
    </row>
    <row r="101" spans="14:14" x14ac:dyDescent="0.25">
      <c r="N101" s="48"/>
    </row>
    <row r="102" spans="14:14" x14ac:dyDescent="0.25">
      <c r="N102" s="48"/>
    </row>
    <row r="103" spans="14:14" x14ac:dyDescent="0.25">
      <c r="N103" s="48"/>
    </row>
    <row r="104" spans="14:14" x14ac:dyDescent="0.25">
      <c r="N104" s="48"/>
    </row>
    <row r="105" spans="14:14" x14ac:dyDescent="0.25">
      <c r="N105" s="48"/>
    </row>
    <row r="106" spans="14:14" x14ac:dyDescent="0.25">
      <c r="N106" s="101"/>
    </row>
    <row r="107" spans="14:14" x14ac:dyDescent="0.25">
      <c r="N107" s="48" t="e">
        <f>#REF!-1</f>
        <v>#REF!</v>
      </c>
    </row>
    <row r="108" spans="14:14" x14ac:dyDescent="0.25">
      <c r="N108" s="64">
        <v>2.1999999999999999E-2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45D7-4589-41F0-B12A-2CB91AC04463}">
  <sheetPr>
    <tabColor rgb="FF00B0F0"/>
  </sheetPr>
  <dimension ref="A1:AE119"/>
  <sheetViews>
    <sheetView zoomScaleNormal="100" workbookViewId="0"/>
  </sheetViews>
  <sheetFormatPr defaultRowHeight="15" x14ac:dyDescent="0.25"/>
  <cols>
    <col min="1" max="1" width="12" customWidth="1"/>
    <col min="2" max="2" width="17.28515625" bestFit="1" customWidth="1"/>
    <col min="3" max="3" width="15.28515625" customWidth="1"/>
    <col min="4" max="4" width="11.85546875" customWidth="1"/>
    <col min="5" max="5" width="16.140625" bestFit="1" customWidth="1"/>
    <col min="6" max="6" width="10.140625" customWidth="1"/>
    <col min="7" max="7" width="10.42578125" customWidth="1"/>
    <col min="8" max="8" width="12.85546875" customWidth="1"/>
    <col min="9" max="10" width="12.85546875" style="48" customWidth="1"/>
    <col min="11" max="11" width="13" customWidth="1"/>
    <col min="12" max="12" width="12.28515625" customWidth="1"/>
    <col min="13" max="13" width="12.28515625" bestFit="1" customWidth="1"/>
    <col min="14" max="14" width="14.42578125" style="48" customWidth="1"/>
    <col min="15" max="15" width="11.5703125" customWidth="1"/>
    <col min="16" max="16" width="11.28515625" customWidth="1"/>
    <col min="17" max="17" width="10.85546875" customWidth="1"/>
    <col min="18" max="18" width="10.42578125" customWidth="1"/>
    <col min="19" max="20" width="11.85546875" customWidth="1"/>
    <col min="21" max="21" width="11.140625" bestFit="1" customWidth="1"/>
    <col min="22" max="22" width="13" customWidth="1"/>
    <col min="23" max="23" width="11" customWidth="1"/>
    <col min="25" max="25" width="10.7109375" customWidth="1"/>
    <col min="26" max="26" width="17" customWidth="1"/>
    <col min="27" max="27" width="11.5703125" customWidth="1"/>
    <col min="28" max="28" width="11.140625" customWidth="1"/>
    <col min="29" max="29" width="10" style="48" customWidth="1"/>
    <col min="38" max="38" width="10.28515625" customWidth="1"/>
    <col min="39" max="39" width="10.140625" customWidth="1"/>
  </cols>
  <sheetData>
    <row r="1" spans="1:27" ht="21" x14ac:dyDescent="0.35">
      <c r="A1" s="20" t="s">
        <v>213</v>
      </c>
      <c r="B1" s="9"/>
      <c r="C1" s="9"/>
      <c r="D1" s="11"/>
      <c r="L1" s="107" t="s">
        <v>171</v>
      </c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x14ac:dyDescent="0.25">
      <c r="A2" s="10"/>
      <c r="B2" s="9"/>
      <c r="D2" s="11"/>
      <c r="L2" s="53" t="s">
        <v>125</v>
      </c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x14ac:dyDescent="0.25">
      <c r="A3" s="15" t="s">
        <v>280</v>
      </c>
      <c r="E3" s="8"/>
      <c r="L3" s="53" t="s">
        <v>126</v>
      </c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s="48" customFormat="1" x14ac:dyDescent="0.25">
      <c r="A4" s="173" t="s">
        <v>471</v>
      </c>
      <c r="B4"/>
      <c r="C4"/>
      <c r="D4"/>
      <c r="E4" s="8"/>
      <c r="L4" s="53" t="s">
        <v>127</v>
      </c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s="48" customFormat="1" x14ac:dyDescent="0.25">
      <c r="A5" s="15" t="s">
        <v>26</v>
      </c>
      <c r="D5" s="10" t="s">
        <v>14</v>
      </c>
      <c r="E5" s="8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x14ac:dyDescent="0.25">
      <c r="A6" s="35" t="s">
        <v>214</v>
      </c>
      <c r="B6" s="35"/>
      <c r="C6" s="35"/>
      <c r="D6" s="35" t="s">
        <v>15</v>
      </c>
      <c r="L6" s="107" t="s">
        <v>216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x14ac:dyDescent="0.25">
      <c r="A7" s="68" t="s">
        <v>40</v>
      </c>
      <c r="B7" s="68"/>
      <c r="C7" s="68"/>
      <c r="D7" s="70">
        <v>25</v>
      </c>
      <c r="E7" s="115" t="s">
        <v>245</v>
      </c>
      <c r="L7" s="53" t="s">
        <v>241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x14ac:dyDescent="0.25">
      <c r="A8" t="s">
        <v>13</v>
      </c>
      <c r="B8" s="8"/>
      <c r="C8" s="8"/>
      <c r="D8">
        <v>20</v>
      </c>
      <c r="E8" s="8"/>
      <c r="L8" s="53" t="s">
        <v>217</v>
      </c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s="48" customFormat="1" x14ac:dyDescent="0.25">
      <c r="A9" t="s">
        <v>12</v>
      </c>
      <c r="B9" s="8"/>
      <c r="C9" s="8"/>
      <c r="D9" s="70">
        <f>D7-D8</f>
        <v>5</v>
      </c>
      <c r="E9" s="8"/>
      <c r="L9" s="53" t="s">
        <v>242</v>
      </c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s="48" customFormat="1" x14ac:dyDescent="0.25">
      <c r="D10" s="8"/>
      <c r="E10" s="8"/>
      <c r="L10" s="53" t="s">
        <v>224</v>
      </c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s="48" customFormat="1" x14ac:dyDescent="0.25">
      <c r="A11" s="112" t="s">
        <v>215</v>
      </c>
      <c r="D11" s="8"/>
      <c r="E11" s="8"/>
      <c r="L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x14ac:dyDescent="0.25">
      <c r="A12" s="40" t="s">
        <v>470</v>
      </c>
      <c r="B12" s="8"/>
      <c r="C12" s="8"/>
      <c r="D12" s="8"/>
      <c r="E12" s="8" t="s">
        <v>37</v>
      </c>
      <c r="F12" s="69" t="s">
        <v>95</v>
      </c>
      <c r="I12" s="35" t="s">
        <v>96</v>
      </c>
      <c r="J12" s="29" t="s">
        <v>454</v>
      </c>
      <c r="L12" s="107" t="s">
        <v>215</v>
      </c>
      <c r="M12" s="11"/>
      <c r="N12" s="11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x14ac:dyDescent="0.25">
      <c r="A13" s="11"/>
      <c r="B13" s="176" t="s">
        <v>95</v>
      </c>
      <c r="D13" s="176" t="s">
        <v>11</v>
      </c>
      <c r="E13" s="11" t="s">
        <v>36</v>
      </c>
      <c r="F13" s="175" t="s">
        <v>10</v>
      </c>
      <c r="G13" s="175" t="s">
        <v>9</v>
      </c>
      <c r="I13" s="57" t="s">
        <v>30</v>
      </c>
      <c r="J13" s="57" t="s">
        <v>21</v>
      </c>
      <c r="L13" s="53" t="s">
        <v>29</v>
      </c>
      <c r="M13" s="11"/>
      <c r="N13" s="11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x14ac:dyDescent="0.25">
      <c r="A14" s="11"/>
      <c r="B14" s="13">
        <v>1997</v>
      </c>
      <c r="C14" s="48"/>
      <c r="D14" s="4">
        <f>F14/$G$22</f>
        <v>8.2387311039233264</v>
      </c>
      <c r="E14" s="11"/>
      <c r="F14" s="26">
        <v>369495</v>
      </c>
      <c r="G14" s="72">
        <f>$G$22</f>
        <v>44848.532539682543</v>
      </c>
      <c r="H14" s="22"/>
      <c r="I14" s="27"/>
      <c r="J14" s="27"/>
      <c r="L14" s="111" t="s">
        <v>27</v>
      </c>
      <c r="M14" s="8"/>
      <c r="N14" s="8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27" x14ac:dyDescent="0.25">
      <c r="A15" s="11"/>
      <c r="B15" s="13">
        <v>1998</v>
      </c>
      <c r="C15" s="48"/>
      <c r="D15" s="4">
        <f>F15/$G$22</f>
        <v>9.1004984307762822</v>
      </c>
      <c r="E15" s="11"/>
      <c r="F15" s="26">
        <v>408144</v>
      </c>
      <c r="G15" s="72">
        <f>$G$22</f>
        <v>44848.532539682543</v>
      </c>
      <c r="H15" s="22"/>
      <c r="I15" s="27"/>
      <c r="J15" s="27"/>
      <c r="L15" s="53" t="s">
        <v>218</v>
      </c>
      <c r="M15" s="8"/>
      <c r="N15" s="8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x14ac:dyDescent="0.25">
      <c r="A16" s="11"/>
      <c r="B16" s="13">
        <v>1999</v>
      </c>
      <c r="C16" s="48"/>
      <c r="D16" s="4">
        <f>F16/$G$22</f>
        <v>10.558740123347455</v>
      </c>
      <c r="E16" s="11"/>
      <c r="F16" s="26">
        <v>473544</v>
      </c>
      <c r="G16" s="72">
        <f>$G$22</f>
        <v>44848.532539682543</v>
      </c>
      <c r="H16" s="22"/>
      <c r="I16" s="27"/>
      <c r="J16" s="27"/>
      <c r="L16" s="109" t="s">
        <v>219</v>
      </c>
      <c r="M16" s="8"/>
      <c r="N16" s="8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7" x14ac:dyDescent="0.25">
      <c r="A17" s="11"/>
      <c r="B17" s="13">
        <v>2000</v>
      </c>
      <c r="C17" s="48"/>
      <c r="D17" s="4">
        <f>F17/$G$22</f>
        <v>13.401508722012121</v>
      </c>
      <c r="E17" s="11"/>
      <c r="F17" s="26">
        <v>601038</v>
      </c>
      <c r="G17" s="72">
        <f>$G$22</f>
        <v>44848.532539682543</v>
      </c>
      <c r="H17" s="22"/>
      <c r="I17" s="27">
        <f>(D16+D17)/2</f>
        <v>11.980124422679788</v>
      </c>
      <c r="J17" s="27">
        <f>(F16+F17)/2</f>
        <v>537291</v>
      </c>
      <c r="L17" s="109" t="s">
        <v>220</v>
      </c>
      <c r="M17" s="2"/>
      <c r="N17" s="2"/>
      <c r="P17" s="53"/>
      <c r="Q17" s="110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7" x14ac:dyDescent="0.25">
      <c r="A18" s="11" t="s">
        <v>16</v>
      </c>
      <c r="B18" s="4">
        <v>2001</v>
      </c>
      <c r="C18" s="11"/>
      <c r="D18" s="4">
        <v>15</v>
      </c>
      <c r="E18" s="23">
        <f>440+D18</f>
        <v>455</v>
      </c>
      <c r="F18" s="26">
        <v>743838</v>
      </c>
      <c r="G18" s="26">
        <f>F18/D18</f>
        <v>49589.2</v>
      </c>
      <c r="H18" s="22"/>
      <c r="I18" s="27">
        <f>(D17+D18)/2</f>
        <v>14.20075436100606</v>
      </c>
      <c r="J18" s="27">
        <f>(F17+F18)/2</f>
        <v>672438</v>
      </c>
      <c r="L18" s="53" t="s">
        <v>222</v>
      </c>
      <c r="M18" s="8"/>
      <c r="N18" s="8"/>
      <c r="P18" s="109"/>
      <c r="Q18" s="109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x14ac:dyDescent="0.25">
      <c r="A19" s="11" t="s">
        <v>16</v>
      </c>
      <c r="B19" s="4">
        <v>2002</v>
      </c>
      <c r="C19" s="11"/>
      <c r="D19" s="4">
        <v>18</v>
      </c>
      <c r="E19" s="23">
        <f>E18+D19</f>
        <v>473</v>
      </c>
      <c r="F19" s="26">
        <v>750518</v>
      </c>
      <c r="G19" s="26">
        <f>F19/D19</f>
        <v>41695.444444444445</v>
      </c>
      <c r="H19" s="26"/>
      <c r="I19" s="27">
        <f>(D18+D19)/2</f>
        <v>16.5</v>
      </c>
      <c r="J19" s="27">
        <f>(F18+F19)/2</f>
        <v>747178</v>
      </c>
      <c r="L19" s="109" t="s">
        <v>223</v>
      </c>
      <c r="M19" s="8"/>
      <c r="N19" s="8"/>
      <c r="P19" s="109"/>
      <c r="Q19" s="109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 x14ac:dyDescent="0.25">
      <c r="A20" s="11" t="s">
        <v>16</v>
      </c>
      <c r="B20" s="4">
        <v>2003</v>
      </c>
      <c r="C20" s="7" t="s">
        <v>8</v>
      </c>
      <c r="D20" s="4">
        <v>10</v>
      </c>
      <c r="E20" s="23">
        <f>E19+D20</f>
        <v>483</v>
      </c>
      <c r="F20" s="26">
        <v>589127</v>
      </c>
      <c r="G20" s="26">
        <f>F20/D20</f>
        <v>58912.7</v>
      </c>
      <c r="H20" s="26"/>
      <c r="I20" s="27">
        <f>(D19+D20)/2</f>
        <v>14</v>
      </c>
      <c r="J20" s="27">
        <f>(F19+F20)/2</f>
        <v>669822.5</v>
      </c>
      <c r="L20" s="109" t="s">
        <v>221</v>
      </c>
      <c r="M20" s="6"/>
      <c r="N20" s="6"/>
      <c r="Q20" s="8"/>
    </row>
    <row r="21" spans="1:27" x14ac:dyDescent="0.25">
      <c r="A21" s="8" t="s">
        <v>16</v>
      </c>
      <c r="B21" s="4">
        <v>2004</v>
      </c>
      <c r="C21" s="8"/>
      <c r="D21" s="4">
        <v>14</v>
      </c>
      <c r="E21" s="23">
        <f>E20+D21</f>
        <v>497</v>
      </c>
      <c r="F21" s="26">
        <v>408755</v>
      </c>
      <c r="G21" s="26">
        <f>F21/D21</f>
        <v>29196.785714285714</v>
      </c>
      <c r="H21" s="22"/>
      <c r="I21" s="27">
        <f>(D20+D21)/2</f>
        <v>12</v>
      </c>
      <c r="J21" s="27">
        <f>(F20+F21)/2</f>
        <v>498941</v>
      </c>
      <c r="L21" s="53" t="s">
        <v>237</v>
      </c>
    </row>
    <row r="22" spans="1:27" x14ac:dyDescent="0.25">
      <c r="A22" s="8"/>
      <c r="B22" s="4"/>
      <c r="C22" s="8"/>
      <c r="D22" s="4"/>
      <c r="E22" s="23"/>
      <c r="F22" s="73" t="s">
        <v>28</v>
      </c>
      <c r="G22" s="73">
        <f>AVERAGE(G18:G21)</f>
        <v>44848.532539682543</v>
      </c>
      <c r="H22" s="22"/>
      <c r="I22" s="22"/>
      <c r="J22" s="22"/>
      <c r="K22" s="22"/>
      <c r="L22" s="109" t="s">
        <v>240</v>
      </c>
    </row>
    <row r="23" spans="1:27" s="48" customFormat="1" x14ac:dyDescent="0.25">
      <c r="A23" s="8" t="s">
        <v>94</v>
      </c>
      <c r="B23" s="4"/>
      <c r="C23" s="8"/>
      <c r="D23" s="4"/>
      <c r="E23" s="23" t="s">
        <v>37</v>
      </c>
      <c r="F23" s="26">
        <f>SUM(F14:F21)</f>
        <v>4344459</v>
      </c>
      <c r="G23" s="22"/>
      <c r="H23" s="22"/>
      <c r="I23" s="22"/>
      <c r="J23" s="22"/>
      <c r="K23" s="22"/>
      <c r="L23" s="109" t="s">
        <v>238</v>
      </c>
    </row>
    <row r="24" spans="1:27" s="48" customFormat="1" x14ac:dyDescent="0.25">
      <c r="L24" s="109" t="s">
        <v>239</v>
      </c>
    </row>
    <row r="25" spans="1:27" s="48" customFormat="1" x14ac:dyDescent="0.25">
      <c r="G25" s="75"/>
      <c r="L25" s="109" t="s">
        <v>244</v>
      </c>
    </row>
    <row r="26" spans="1:27" s="48" customFormat="1" x14ac:dyDescent="0.25">
      <c r="A26" s="112" t="s">
        <v>451</v>
      </c>
      <c r="G26" s="75"/>
      <c r="L26" s="109"/>
    </row>
    <row r="27" spans="1:27" s="48" customFormat="1" x14ac:dyDescent="0.25">
      <c r="A27" s="174" t="s">
        <v>463</v>
      </c>
      <c r="G27" s="75"/>
      <c r="O27" s="109"/>
    </row>
    <row r="28" spans="1:27" s="48" customFormat="1" x14ac:dyDescent="0.25">
      <c r="A28" s="29" t="s">
        <v>448</v>
      </c>
      <c r="C28" s="19" t="s">
        <v>21</v>
      </c>
      <c r="D28" s="24">
        <v>0.9</v>
      </c>
      <c r="G28" s="75"/>
      <c r="H28" s="19"/>
      <c r="O28" s="109"/>
    </row>
    <row r="29" spans="1:27" s="48" customFormat="1" x14ac:dyDescent="0.25">
      <c r="A29" s="48" t="s">
        <v>449</v>
      </c>
      <c r="C29" s="22">
        <v>5150394</v>
      </c>
      <c r="G29" s="75"/>
      <c r="H29" s="19"/>
      <c r="O29" s="109"/>
    </row>
    <row r="30" spans="1:27" s="48" customFormat="1" x14ac:dyDescent="0.25">
      <c r="A30" s="48" t="s">
        <v>450</v>
      </c>
      <c r="C30" s="22">
        <f>(C29/10)*D28</f>
        <v>463535.46</v>
      </c>
      <c r="G30" s="75"/>
      <c r="H30" s="19"/>
      <c r="O30" s="109"/>
    </row>
    <row r="31" spans="1:27" s="48" customFormat="1" x14ac:dyDescent="0.25">
      <c r="A31" s="48" t="s">
        <v>452</v>
      </c>
      <c r="C31" s="2">
        <f>SUM(D53:D62)</f>
        <v>138</v>
      </c>
      <c r="O31" s="109"/>
    </row>
    <row r="32" spans="1:27" s="48" customFormat="1" x14ac:dyDescent="0.25">
      <c r="A32" s="48" t="s">
        <v>453</v>
      </c>
      <c r="C32" s="22">
        <f>C29/C31</f>
        <v>37321.695652173912</v>
      </c>
      <c r="D32" s="92">
        <f>C32*D7</f>
        <v>933042.39130434778</v>
      </c>
    </row>
    <row r="33" spans="1:24" x14ac:dyDescent="0.25">
      <c r="A33" s="5" t="s">
        <v>2</v>
      </c>
      <c r="B33" s="77">
        <v>10</v>
      </c>
      <c r="C33" s="48"/>
      <c r="D33" s="48"/>
      <c r="E33" s="48"/>
      <c r="F33" s="48"/>
      <c r="G33" s="48"/>
      <c r="H33" s="48"/>
      <c r="K33" s="48"/>
      <c r="L33" s="48"/>
      <c r="M33" s="48"/>
    </row>
    <row r="34" spans="1:24" x14ac:dyDescent="0.25">
      <c r="A34" t="s">
        <v>41</v>
      </c>
      <c r="B34" s="67">
        <f>B33*48</f>
        <v>480</v>
      </c>
    </row>
    <row r="35" spans="1:24" x14ac:dyDescent="0.25">
      <c r="A35" t="s">
        <v>42</v>
      </c>
      <c r="B35" s="67">
        <f>B34*5</f>
        <v>2400</v>
      </c>
      <c r="C35" s="22"/>
      <c r="D35" s="48"/>
      <c r="E35" s="48"/>
      <c r="F35" s="48"/>
      <c r="G35" s="48"/>
      <c r="H35" s="48"/>
      <c r="K35" s="48"/>
      <c r="L35" s="48"/>
      <c r="M35" s="32"/>
      <c r="N35" s="32"/>
    </row>
    <row r="36" spans="1:24" x14ac:dyDescent="0.25">
      <c r="A36" s="48"/>
      <c r="B36" s="48"/>
      <c r="C36" s="57" t="s">
        <v>21</v>
      </c>
      <c r="D36" s="57" t="s">
        <v>118</v>
      </c>
      <c r="E36" s="83" t="s">
        <v>236</v>
      </c>
      <c r="F36" s="48"/>
      <c r="G36" s="48"/>
      <c r="H36" s="33"/>
      <c r="I36" s="33"/>
      <c r="J36" s="33"/>
      <c r="K36" s="48"/>
      <c r="L36" s="48"/>
      <c r="M36" s="48"/>
    </row>
    <row r="37" spans="1:24" x14ac:dyDescent="0.25">
      <c r="A37" t="s">
        <v>47</v>
      </c>
      <c r="C37" s="22">
        <v>5150394</v>
      </c>
      <c r="D37" s="22">
        <f>C37*HoleSize!D65</f>
        <v>2635817.1373799997</v>
      </c>
      <c r="G37" s="48"/>
      <c r="H37" s="33"/>
      <c r="I37" s="33"/>
      <c r="J37" s="33"/>
      <c r="K37" s="48"/>
      <c r="L37" s="48"/>
      <c r="M37" s="48"/>
    </row>
    <row r="38" spans="1:24" x14ac:dyDescent="0.25">
      <c r="A38" t="s">
        <v>1</v>
      </c>
      <c r="C38" s="22">
        <f>C37/B33</f>
        <v>515039.4</v>
      </c>
      <c r="D38" s="22">
        <f>D37/B33</f>
        <v>263581.71373799996</v>
      </c>
      <c r="F38" s="22"/>
    </row>
    <row r="39" spans="1:24" x14ac:dyDescent="0.25">
      <c r="A39" s="48" t="s">
        <v>114</v>
      </c>
      <c r="B39" s="48"/>
      <c r="C39" s="22">
        <f>C37/B34</f>
        <v>10729.987499999999</v>
      </c>
      <c r="D39" s="22">
        <f>D37/B34</f>
        <v>5491.2857028749995</v>
      </c>
      <c r="E39" s="48"/>
      <c r="F39" s="22"/>
      <c r="G39" s="48"/>
      <c r="H39" s="48"/>
      <c r="K39" s="48"/>
      <c r="L39" s="48"/>
      <c r="M39" s="48"/>
    </row>
    <row r="40" spans="1:24" x14ac:dyDescent="0.25">
      <c r="A40" s="48" t="s">
        <v>115</v>
      </c>
      <c r="B40" s="48"/>
      <c r="C40" s="22">
        <f>C37/B35</f>
        <v>2145.9974999999999</v>
      </c>
      <c r="D40" s="22">
        <f>D37/B35</f>
        <v>1098.257140575</v>
      </c>
      <c r="E40" s="48"/>
      <c r="F40" s="22"/>
      <c r="G40" s="33"/>
    </row>
    <row r="41" spans="1:24" x14ac:dyDescent="0.25">
      <c r="A41" s="48" t="s">
        <v>121</v>
      </c>
      <c r="B41" s="48"/>
      <c r="C41" s="22"/>
      <c r="D41" s="48"/>
      <c r="E41" s="22">
        <f>C40/HoleSize!B66*2</f>
        <v>429.1995</v>
      </c>
      <c r="F41" s="28" t="s">
        <v>117</v>
      </c>
      <c r="G41" s="22"/>
      <c r="H41" s="22"/>
      <c r="I41" s="22"/>
      <c r="J41" s="22"/>
      <c r="K41" s="22"/>
    </row>
    <row r="42" spans="1:24" s="48" customFormat="1" x14ac:dyDescent="0.25">
      <c r="A42" s="48" t="s">
        <v>122</v>
      </c>
      <c r="E42" s="22">
        <f>C37/HoleSize!B66*2</f>
        <v>1030078.8</v>
      </c>
      <c r="F42" s="28" t="s">
        <v>117</v>
      </c>
      <c r="G42" s="22"/>
      <c r="H42" s="22"/>
      <c r="I42" s="22"/>
      <c r="J42" s="22"/>
      <c r="K42" s="22"/>
    </row>
    <row r="43" spans="1:24" s="48" customFormat="1" x14ac:dyDescent="0.25">
      <c r="E43" s="22"/>
      <c r="F43" s="28"/>
      <c r="G43" s="22"/>
      <c r="H43" s="22"/>
      <c r="I43" s="22"/>
      <c r="J43" s="22"/>
      <c r="K43" s="22"/>
    </row>
    <row r="44" spans="1:24" s="48" customFormat="1" x14ac:dyDescent="0.25">
      <c r="E44" s="22"/>
      <c r="F44" s="28"/>
      <c r="G44" s="22"/>
      <c r="H44" s="22"/>
      <c r="I44" s="22"/>
      <c r="J44" s="22"/>
      <c r="K44" s="22"/>
    </row>
    <row r="45" spans="1:24" s="48" customFormat="1" x14ac:dyDescent="0.25">
      <c r="A45" s="234" t="s">
        <v>464</v>
      </c>
      <c r="B45" s="235"/>
      <c r="E45" s="22"/>
      <c r="F45" s="28"/>
      <c r="G45" s="22"/>
      <c r="H45" s="22"/>
      <c r="I45" s="22"/>
      <c r="J45" s="22"/>
      <c r="K45" s="22"/>
      <c r="X45" s="57" t="s">
        <v>526</v>
      </c>
    </row>
    <row r="46" spans="1:24" s="48" customFormat="1" x14ac:dyDescent="0.25">
      <c r="A46" s="173" t="s">
        <v>465</v>
      </c>
      <c r="B46" s="57"/>
      <c r="C46" s="236"/>
      <c r="D46" s="237"/>
      <c r="E46" s="57"/>
      <c r="F46" s="57"/>
      <c r="G46" s="238"/>
      <c r="H46" s="83" t="s">
        <v>377</v>
      </c>
      <c r="I46" s="83" t="s">
        <v>380</v>
      </c>
      <c r="J46" s="57"/>
      <c r="K46" s="57"/>
      <c r="L46" s="57"/>
      <c r="M46" s="57" t="s">
        <v>524</v>
      </c>
      <c r="V46" t="s">
        <v>262</v>
      </c>
      <c r="X46" s="57" t="s">
        <v>527</v>
      </c>
    </row>
    <row r="47" spans="1:24" s="48" customFormat="1" x14ac:dyDescent="0.25">
      <c r="A47" s="173" t="s">
        <v>466</v>
      </c>
      <c r="B47" s="57"/>
      <c r="C47" s="236"/>
      <c r="D47" s="237"/>
      <c r="E47" s="57"/>
      <c r="F47" s="57"/>
      <c r="G47" s="83" t="s">
        <v>21</v>
      </c>
      <c r="H47" s="83" t="s">
        <v>378</v>
      </c>
      <c r="I47" s="83" t="s">
        <v>21</v>
      </c>
      <c r="J47" s="57"/>
      <c r="K47" s="57"/>
      <c r="L47" s="57"/>
      <c r="M47" s="57" t="s">
        <v>525</v>
      </c>
      <c r="N47" s="57"/>
      <c r="V47" s="11" t="s">
        <v>264</v>
      </c>
    </row>
    <row r="48" spans="1:24" s="48" customFormat="1" x14ac:dyDescent="0.25">
      <c r="A48" s="8"/>
      <c r="B48" s="176" t="s">
        <v>96</v>
      </c>
      <c r="C48" s="57"/>
      <c r="D48" s="239" t="s">
        <v>99</v>
      </c>
      <c r="E48" s="240" t="s">
        <v>467</v>
      </c>
      <c r="F48" s="239"/>
      <c r="G48" s="238" t="s">
        <v>100</v>
      </c>
      <c r="H48" s="83" t="s">
        <v>441</v>
      </c>
      <c r="I48" s="83" t="s">
        <v>381</v>
      </c>
      <c r="J48" s="57"/>
      <c r="K48" s="57"/>
      <c r="L48" s="57"/>
      <c r="M48" s="57"/>
      <c r="N48" s="57"/>
      <c r="V48">
        <v>5</v>
      </c>
    </row>
    <row r="49" spans="1:29" s="48" customFormat="1" x14ac:dyDescent="0.25">
      <c r="A49" s="8"/>
      <c r="B49" s="165">
        <v>1997</v>
      </c>
      <c r="C49" s="86"/>
      <c r="D49" s="166">
        <f>D14</f>
        <v>8.2387311039233264</v>
      </c>
      <c r="E49" s="171"/>
      <c r="F49" s="166"/>
      <c r="G49" s="86">
        <v>369495</v>
      </c>
      <c r="H49" s="119">
        <f t="shared" ref="H49:H51" si="0">H50-G49</f>
        <v>28145875.799232408</v>
      </c>
      <c r="I49" s="55">
        <f t="shared" ref="I49:I51" si="1">H49/1000000</f>
        <v>28.145875799232407</v>
      </c>
      <c r="J49" s="176" t="s">
        <v>101</v>
      </c>
      <c r="K49" s="176" t="s">
        <v>101</v>
      </c>
      <c r="L49" s="176" t="s">
        <v>100</v>
      </c>
      <c r="M49" s="233" t="s">
        <v>102</v>
      </c>
      <c r="N49" s="230" t="s">
        <v>7</v>
      </c>
      <c r="O49" s="231" t="s">
        <v>7</v>
      </c>
      <c r="P49" s="145" t="s">
        <v>7</v>
      </c>
      <c r="Q49" s="229" t="s">
        <v>495</v>
      </c>
      <c r="R49" s="241" t="s">
        <v>260</v>
      </c>
      <c r="S49" s="57" t="s">
        <v>277</v>
      </c>
      <c r="T49" s="57" t="s">
        <v>153</v>
      </c>
      <c r="U49" s="57"/>
      <c r="V49" s="57" t="s">
        <v>261</v>
      </c>
      <c r="W49" s="57"/>
      <c r="X49" s="57" t="s">
        <v>502</v>
      </c>
      <c r="Y49" s="83" t="s">
        <v>37</v>
      </c>
      <c r="Z49" s="83" t="s">
        <v>546</v>
      </c>
      <c r="AA49" s="83" t="s">
        <v>505</v>
      </c>
      <c r="AB49" s="83" t="s">
        <v>530</v>
      </c>
      <c r="AC49" s="83" t="s">
        <v>98</v>
      </c>
    </row>
    <row r="50" spans="1:29" s="48" customFormat="1" x14ac:dyDescent="0.25">
      <c r="A50" s="8"/>
      <c r="B50" s="166">
        <v>1998</v>
      </c>
      <c r="C50" s="167"/>
      <c r="D50" s="166">
        <f>D15</f>
        <v>9.1004984307762822</v>
      </c>
      <c r="E50" s="171"/>
      <c r="F50" s="166"/>
      <c r="G50" s="86">
        <v>408144</v>
      </c>
      <c r="H50" s="119">
        <f t="shared" si="0"/>
        <v>28515370.799232408</v>
      </c>
      <c r="I50" s="55">
        <f t="shared" si="1"/>
        <v>28.515370799232407</v>
      </c>
      <c r="J50" s="83" t="s">
        <v>292</v>
      </c>
      <c r="K50" s="83" t="s">
        <v>293</v>
      </c>
      <c r="L50" s="242" t="s">
        <v>294</v>
      </c>
      <c r="M50" s="83" t="s">
        <v>123</v>
      </c>
      <c r="N50" s="231" t="s">
        <v>500</v>
      </c>
      <c r="O50" s="231" t="s">
        <v>165</v>
      </c>
      <c r="P50" s="145" t="s">
        <v>494</v>
      </c>
      <c r="Q50" s="229" t="s">
        <v>496</v>
      </c>
      <c r="R50" s="241" t="s">
        <v>32</v>
      </c>
      <c r="S50" s="57" t="s">
        <v>383</v>
      </c>
      <c r="T50" s="236" t="s">
        <v>23</v>
      </c>
      <c r="U50" s="57"/>
      <c r="V50" s="57" t="s">
        <v>455</v>
      </c>
      <c r="W50" s="243"/>
      <c r="X50" s="57">
        <v>2002</v>
      </c>
      <c r="Y50" s="249" t="s">
        <v>503</v>
      </c>
      <c r="Z50" s="249" t="s">
        <v>504</v>
      </c>
      <c r="AA50" s="249" t="s">
        <v>504</v>
      </c>
      <c r="AB50" s="249" t="s">
        <v>531</v>
      </c>
      <c r="AC50" s="83"/>
    </row>
    <row r="51" spans="1:29" s="48" customFormat="1" x14ac:dyDescent="0.25">
      <c r="A51" s="8"/>
      <c r="B51" s="153">
        <v>1999</v>
      </c>
      <c r="C51" s="167"/>
      <c r="D51" s="166">
        <f>D16</f>
        <v>10.558740123347455</v>
      </c>
      <c r="E51" s="171"/>
      <c r="F51" s="166"/>
      <c r="G51" s="86">
        <v>473544</v>
      </c>
      <c r="H51" s="119">
        <f t="shared" si="0"/>
        <v>28923514.799232408</v>
      </c>
      <c r="I51" s="55">
        <f t="shared" si="1"/>
        <v>28.923514799232407</v>
      </c>
      <c r="J51" s="176" t="s">
        <v>22</v>
      </c>
      <c r="K51" s="176" t="s">
        <v>22</v>
      </c>
      <c r="L51" s="176" t="s">
        <v>22</v>
      </c>
      <c r="M51" s="83" t="s">
        <v>103</v>
      </c>
      <c r="N51" s="231" t="s">
        <v>288</v>
      </c>
      <c r="O51" s="231" t="s">
        <v>22</v>
      </c>
      <c r="P51" s="244" t="s">
        <v>22</v>
      </c>
      <c r="Q51" s="229" t="s">
        <v>22</v>
      </c>
      <c r="R51" s="245" t="s">
        <v>33</v>
      </c>
      <c r="S51" s="57" t="s">
        <v>22</v>
      </c>
      <c r="T51" s="236" t="s">
        <v>22</v>
      </c>
      <c r="U51" s="57"/>
      <c r="V51" s="57" t="s">
        <v>456</v>
      </c>
      <c r="W51" s="57"/>
      <c r="X51" s="57"/>
      <c r="Y51" s="236"/>
      <c r="Z51" s="236"/>
      <c r="AA51" s="236"/>
      <c r="AC51" s="57"/>
    </row>
    <row r="52" spans="1:29" s="48" customFormat="1" x14ac:dyDescent="0.25">
      <c r="A52" s="4">
        <v>1</v>
      </c>
      <c r="B52" s="4">
        <v>2000</v>
      </c>
      <c r="C52" s="8"/>
      <c r="D52" s="4">
        <f>I17</f>
        <v>11.980124422679788</v>
      </c>
      <c r="E52" s="171">
        <v>442</v>
      </c>
      <c r="F52" s="11"/>
      <c r="G52" s="26">
        <f>$C$32*D52</f>
        <v>447118.55757843074</v>
      </c>
      <c r="H52" s="22">
        <f>H53-G52</f>
        <v>29397058.799232408</v>
      </c>
      <c r="I52" s="55">
        <f>H52/1000000</f>
        <v>29.397058799232408</v>
      </c>
      <c r="J52" s="5">
        <f t="shared" ref="J52:J70" si="2">G52*$D$8/1000000</f>
        <v>8.9423711515686133</v>
      </c>
      <c r="K52" s="5">
        <f t="shared" ref="K52:K71" si="3">G52*$D$7/1000000</f>
        <v>11.177963939460769</v>
      </c>
      <c r="L52" s="5">
        <f t="shared" ref="L52:L71" si="4">G52*$D$9/1000000</f>
        <v>2.2355927878921533</v>
      </c>
      <c r="M52" s="6">
        <f>CPI!AA6</f>
        <v>0.46099999999999958</v>
      </c>
      <c r="N52" s="3">
        <f>K52*M52</f>
        <v>5.1530413760914096</v>
      </c>
      <c r="O52" s="3">
        <f t="shared" ref="O52:O71" si="5">L52*M52</f>
        <v>1.0306082752182817</v>
      </c>
      <c r="P52" s="32"/>
      <c r="Q52" s="53"/>
      <c r="R52" s="86">
        <f t="shared" ref="R52:R71" si="6">O52/D52*1000000</f>
        <v>86026.508478260759</v>
      </c>
      <c r="S52" s="48">
        <v>0</v>
      </c>
      <c r="T52" s="48">
        <v>0</v>
      </c>
      <c r="U52" s="3"/>
      <c r="V52" s="22">
        <f t="shared" ref="V52:V73" si="7">G52/$V$48</f>
        <v>89423.711515686155</v>
      </c>
      <c r="W52" s="22"/>
      <c r="Y52" s="22"/>
      <c r="Z52" s="28">
        <v>400000</v>
      </c>
      <c r="AA52" s="22"/>
      <c r="AB52" s="22">
        <f>$AA$71</f>
        <v>6800000</v>
      </c>
      <c r="AC52" s="4">
        <v>2000</v>
      </c>
    </row>
    <row r="53" spans="1:29" s="48" customFormat="1" x14ac:dyDescent="0.25">
      <c r="A53" s="4">
        <v>2</v>
      </c>
      <c r="B53" s="4">
        <v>2001</v>
      </c>
      <c r="C53" s="8"/>
      <c r="D53" s="4">
        <v>15</v>
      </c>
      <c r="E53" s="171">
        <v>454</v>
      </c>
      <c r="F53" s="11"/>
      <c r="G53" s="26">
        <f t="shared" ref="G53:G71" si="8">$C$32*D53</f>
        <v>559825.43478260865</v>
      </c>
      <c r="H53" s="22">
        <f t="shared" ref="H53:H69" si="9">H54-G53</f>
        <v>29844177.356810838</v>
      </c>
      <c r="I53" s="55">
        <f t="shared" ref="I53:I72" si="10">H53/1000000</f>
        <v>29.844177356810839</v>
      </c>
      <c r="J53" s="5">
        <f t="shared" si="2"/>
        <v>11.196508695652172</v>
      </c>
      <c r="K53" s="5">
        <f t="shared" si="3"/>
        <v>13.995635869565216</v>
      </c>
      <c r="L53" s="5">
        <f t="shared" si="4"/>
        <v>2.799127173913043</v>
      </c>
      <c r="M53" s="71">
        <f>CPI!Z6</f>
        <v>0.52199999999999958</v>
      </c>
      <c r="N53" s="3">
        <f t="shared" ref="N53:N71" si="11">K53*M53</f>
        <v>7.3057219239130369</v>
      </c>
      <c r="O53" s="3">
        <f t="shared" si="5"/>
        <v>1.4611443847826073</v>
      </c>
      <c r="P53" s="32"/>
      <c r="Q53" s="53"/>
      <c r="R53" s="86">
        <f t="shared" si="6"/>
        <v>97409.625652173825</v>
      </c>
      <c r="S53" s="3">
        <f>N52</f>
        <v>5.1530413760914096</v>
      </c>
      <c r="T53" s="3">
        <f>O52</f>
        <v>1.0306082752182817</v>
      </c>
      <c r="U53" s="3"/>
      <c r="V53" s="22">
        <f t="shared" si="7"/>
        <v>111965.08695652173</v>
      </c>
      <c r="W53" s="22"/>
      <c r="Y53" s="22"/>
      <c r="Z53" s="28">
        <v>400000</v>
      </c>
      <c r="AA53" s="22"/>
      <c r="AB53" s="22">
        <f t="shared" ref="AB53:AB84" si="12">$AA$71</f>
        <v>6800000</v>
      </c>
      <c r="AC53" s="4">
        <f t="shared" ref="AC53:AC84" si="13">AC52+1</f>
        <v>2001</v>
      </c>
    </row>
    <row r="54" spans="1:29" s="48" customFormat="1" x14ac:dyDescent="0.25">
      <c r="A54" s="4">
        <v>3</v>
      </c>
      <c r="B54" s="4">
        <v>2002</v>
      </c>
      <c r="C54" s="8"/>
      <c r="D54" s="4">
        <v>18</v>
      </c>
      <c r="E54" s="171">
        <v>468</v>
      </c>
      <c r="F54" s="11"/>
      <c r="G54" s="26">
        <f t="shared" si="8"/>
        <v>671790.52173913037</v>
      </c>
      <c r="H54" s="22">
        <f t="shared" si="9"/>
        <v>30404002.791593447</v>
      </c>
      <c r="I54" s="55">
        <f t="shared" si="10"/>
        <v>30.404002791593449</v>
      </c>
      <c r="J54" s="5">
        <f t="shared" si="2"/>
        <v>13.435810434782608</v>
      </c>
      <c r="K54" s="5">
        <f t="shared" si="3"/>
        <v>16.794763043478259</v>
      </c>
      <c r="L54" s="5">
        <f t="shared" si="4"/>
        <v>3.358952608695652</v>
      </c>
      <c r="M54" s="6">
        <f>CPI!Y6</f>
        <v>0.5539999999999996</v>
      </c>
      <c r="N54" s="3">
        <f t="shared" si="11"/>
        <v>9.3042987260869481</v>
      </c>
      <c r="O54" s="3">
        <f t="shared" si="5"/>
        <v>1.8608597452173898</v>
      </c>
      <c r="P54" s="179">
        <f>Rehab!J26</f>
        <v>-6.873004639565238</v>
      </c>
      <c r="Q54" s="196">
        <f>Rehab!T26</f>
        <v>-5.0121448943478484</v>
      </c>
      <c r="R54" s="86">
        <f t="shared" si="6"/>
        <v>103381.09695652167</v>
      </c>
      <c r="S54" s="3">
        <f t="shared" ref="S54:S72" si="14">S53+N53</f>
        <v>12.458763300004446</v>
      </c>
      <c r="T54" s="3">
        <f t="shared" ref="T54:T72" si="15">T53+O53</f>
        <v>2.491752660000889</v>
      </c>
      <c r="U54" s="3"/>
      <c r="V54" s="22">
        <f t="shared" si="7"/>
        <v>134358.10434782607</v>
      </c>
      <c r="W54" s="22"/>
      <c r="Y54" s="22"/>
      <c r="Z54" s="28">
        <v>400000</v>
      </c>
      <c r="AA54" s="22"/>
      <c r="AB54" s="22">
        <f t="shared" si="12"/>
        <v>6800000</v>
      </c>
      <c r="AC54" s="4">
        <f t="shared" si="13"/>
        <v>2002</v>
      </c>
    </row>
    <row r="55" spans="1:29" s="48" customFormat="1" x14ac:dyDescent="0.25">
      <c r="A55" s="4">
        <v>4</v>
      </c>
      <c r="B55" s="4">
        <v>2003</v>
      </c>
      <c r="C55" s="8"/>
      <c r="D55" s="4">
        <v>10</v>
      </c>
      <c r="E55" s="171">
        <v>485</v>
      </c>
      <c r="F55" s="11"/>
      <c r="G55" s="26">
        <f t="shared" si="8"/>
        <v>373216.95652173914</v>
      </c>
      <c r="H55" s="22">
        <f t="shared" si="9"/>
        <v>31075793.313332576</v>
      </c>
      <c r="I55" s="55">
        <f t="shared" si="10"/>
        <v>31.075793313332575</v>
      </c>
      <c r="J55" s="5">
        <f t="shared" si="2"/>
        <v>7.4643391304347828</v>
      </c>
      <c r="K55" s="5">
        <f t="shared" si="3"/>
        <v>9.3304239130434787</v>
      </c>
      <c r="L55" s="5">
        <f t="shared" si="4"/>
        <v>1.8660847826086957</v>
      </c>
      <c r="M55" s="6">
        <f>CPI!X6</f>
        <v>0.58399999999999963</v>
      </c>
      <c r="N55" s="3">
        <f t="shared" si="11"/>
        <v>5.4489675652173881</v>
      </c>
      <c r="O55" s="3">
        <f t="shared" si="5"/>
        <v>1.0897935130434775</v>
      </c>
      <c r="P55" s="179">
        <f>Rehab!J27</f>
        <v>-7.8074228321738985</v>
      </c>
      <c r="Q55" s="196">
        <f>Rehab!T27</f>
        <v>-6.7176293191304213</v>
      </c>
      <c r="R55" s="86">
        <f t="shared" si="6"/>
        <v>108979.35130434774</v>
      </c>
      <c r="S55" s="3">
        <f t="shared" si="14"/>
        <v>21.763062026091394</v>
      </c>
      <c r="T55" s="3">
        <f t="shared" si="15"/>
        <v>4.3526124052182791</v>
      </c>
      <c r="U55" s="3"/>
      <c r="V55" s="22">
        <f t="shared" si="7"/>
        <v>74643.391304347824</v>
      </c>
      <c r="W55" s="22"/>
      <c r="X55" s="26">
        <f t="shared" ref="X55:X71" si="16">G55</f>
        <v>373216.95652173914</v>
      </c>
      <c r="Y55" s="22">
        <f>X55</f>
        <v>373216.95652173914</v>
      </c>
      <c r="Z55" s="22">
        <v>400000</v>
      </c>
      <c r="AA55" s="22">
        <v>400000</v>
      </c>
      <c r="AB55" s="22">
        <f t="shared" si="12"/>
        <v>6800000</v>
      </c>
      <c r="AC55" s="4">
        <f t="shared" si="13"/>
        <v>2003</v>
      </c>
    </row>
    <row r="56" spans="1:29" s="48" customFormat="1" x14ac:dyDescent="0.25">
      <c r="A56" s="4">
        <v>5</v>
      </c>
      <c r="B56" s="4">
        <v>2004</v>
      </c>
      <c r="C56" s="8"/>
      <c r="D56" s="4">
        <v>13</v>
      </c>
      <c r="E56" s="171">
        <v>499</v>
      </c>
      <c r="F56" s="11"/>
      <c r="G56" s="26">
        <f t="shared" si="8"/>
        <v>485182.04347826086</v>
      </c>
      <c r="H56" s="22">
        <f t="shared" si="9"/>
        <v>31449010.269854315</v>
      </c>
      <c r="I56" s="55">
        <f t="shared" si="10"/>
        <v>31.449010269854316</v>
      </c>
      <c r="J56" s="5">
        <f t="shared" si="2"/>
        <v>9.7036408695652163</v>
      </c>
      <c r="K56" s="5">
        <f t="shared" si="3"/>
        <v>12.129551086956521</v>
      </c>
      <c r="L56" s="5">
        <f t="shared" si="4"/>
        <v>2.4259102173913041</v>
      </c>
      <c r="M56" s="6">
        <f>CPI!W6</f>
        <v>0.61399999999999966</v>
      </c>
      <c r="N56" s="3">
        <f t="shared" si="11"/>
        <v>7.4475443673913002</v>
      </c>
      <c r="O56" s="3">
        <f t="shared" si="5"/>
        <v>1.4895088734782598</v>
      </c>
      <c r="P56" s="179">
        <f>Rehab!J28</f>
        <v>-6.8477319375652144</v>
      </c>
      <c r="Q56" s="196">
        <f>Rehab!T28</f>
        <v>-5.358223064086955</v>
      </c>
      <c r="R56" s="86">
        <f t="shared" si="6"/>
        <v>114577.60565217382</v>
      </c>
      <c r="S56" s="3">
        <f t="shared" si="14"/>
        <v>27.212029591308781</v>
      </c>
      <c r="T56" s="3">
        <f t="shared" si="15"/>
        <v>5.4424059182617563</v>
      </c>
      <c r="U56" s="3"/>
      <c r="V56" s="22">
        <f t="shared" si="7"/>
        <v>97036.408695652179</v>
      </c>
      <c r="W56" s="22"/>
      <c r="X56" s="26">
        <f t="shared" si="16"/>
        <v>485182.04347826086</v>
      </c>
      <c r="Y56" s="22">
        <f>X56+Y55</f>
        <v>858399</v>
      </c>
      <c r="Z56" s="22">
        <v>400000</v>
      </c>
      <c r="AA56" s="22">
        <f t="shared" ref="AA56:AA83" si="17">Z56+AA55</f>
        <v>800000</v>
      </c>
      <c r="AB56" s="22">
        <f t="shared" si="12"/>
        <v>6800000</v>
      </c>
      <c r="AC56" s="4">
        <f t="shared" si="13"/>
        <v>2004</v>
      </c>
    </row>
    <row r="57" spans="1:29" x14ac:dyDescent="0.25">
      <c r="A57" s="4">
        <v>6</v>
      </c>
      <c r="B57" s="4">
        <v>2005</v>
      </c>
      <c r="C57" s="8"/>
      <c r="D57" s="4">
        <v>14</v>
      </c>
      <c r="E57" s="171">
        <f>E21+D57</f>
        <v>511</v>
      </c>
      <c r="F57" s="11"/>
      <c r="G57" s="26">
        <f t="shared" si="8"/>
        <v>522503.73913043475</v>
      </c>
      <c r="H57" s="22">
        <f t="shared" si="9"/>
        <v>31934192.313332576</v>
      </c>
      <c r="I57" s="55">
        <f t="shared" si="10"/>
        <v>31.934192313332577</v>
      </c>
      <c r="J57" s="5">
        <f t="shared" si="2"/>
        <v>10.450074782608695</v>
      </c>
      <c r="K57" s="5">
        <f t="shared" si="3"/>
        <v>13.062593478260869</v>
      </c>
      <c r="L57" s="5">
        <f t="shared" si="4"/>
        <v>2.6125186956521738</v>
      </c>
      <c r="M57" s="6">
        <f>CPI!$V$6</f>
        <v>0.63999999999999968</v>
      </c>
      <c r="N57" s="3">
        <f t="shared" si="11"/>
        <v>8.3600598260869514</v>
      </c>
      <c r="O57" s="3">
        <f t="shared" si="5"/>
        <v>1.6720119652173904</v>
      </c>
      <c r="P57" s="179">
        <f>Rehab!J29</f>
        <v>-6.287051529608874</v>
      </c>
      <c r="Q57" s="196">
        <f>Rehab!T29</f>
        <v>-4.6150395643914841</v>
      </c>
      <c r="R57" s="86">
        <f t="shared" si="6"/>
        <v>119429.42608695646</v>
      </c>
      <c r="S57" s="3">
        <f t="shared" si="14"/>
        <v>34.659573958700079</v>
      </c>
      <c r="T57" s="3">
        <f t="shared" si="15"/>
        <v>6.9319147917400166</v>
      </c>
      <c r="U57" s="3"/>
      <c r="V57" s="22">
        <f t="shared" si="7"/>
        <v>104500.74782608695</v>
      </c>
      <c r="W57" s="22"/>
      <c r="X57" s="26">
        <f t="shared" si="16"/>
        <v>522503.73913043475</v>
      </c>
      <c r="Y57" s="22">
        <f t="shared" ref="Y57:Y71" si="18">X57+Y56</f>
        <v>1380902.7391304348</v>
      </c>
      <c r="Z57" s="22">
        <v>400000</v>
      </c>
      <c r="AA57" s="22">
        <f t="shared" si="17"/>
        <v>1200000</v>
      </c>
      <c r="AB57" s="22">
        <f t="shared" si="12"/>
        <v>6800000</v>
      </c>
      <c r="AC57" s="4">
        <f t="shared" si="13"/>
        <v>2005</v>
      </c>
    </row>
    <row r="58" spans="1:29" x14ac:dyDescent="0.25">
      <c r="A58" s="4">
        <v>7</v>
      </c>
      <c r="B58" s="4">
        <v>2006</v>
      </c>
      <c r="C58" s="8"/>
      <c r="D58" s="4">
        <v>11</v>
      </c>
      <c r="E58" s="171">
        <f t="shared" ref="E58:E71" si="19">E57+D58</f>
        <v>522</v>
      </c>
      <c r="F58" s="11"/>
      <c r="G58" s="26">
        <f t="shared" si="8"/>
        <v>410538.65217391303</v>
      </c>
      <c r="H58" s="22">
        <f t="shared" si="9"/>
        <v>32456696.05246301</v>
      </c>
      <c r="I58" s="55">
        <f t="shared" si="10"/>
        <v>32.456696052463009</v>
      </c>
      <c r="J58" s="5">
        <f t="shared" si="2"/>
        <v>8.2107730434782606</v>
      </c>
      <c r="K58" s="5">
        <f t="shared" si="3"/>
        <v>10.263466304347826</v>
      </c>
      <c r="L58" s="5">
        <f t="shared" si="4"/>
        <v>2.0526932608695652</v>
      </c>
      <c r="M58" s="6">
        <f>CPI!$U$6</f>
        <v>0.66899999999999971</v>
      </c>
      <c r="N58" s="3">
        <f t="shared" si="11"/>
        <v>6.866258957608693</v>
      </c>
      <c r="O58" s="3">
        <f t="shared" si="5"/>
        <v>1.3732517915217386</v>
      </c>
      <c r="P58" s="179">
        <f>Rehab!J30</f>
        <v>-7.7024189507567087</v>
      </c>
      <c r="Q58" s="196">
        <f>Rehab!T30</f>
        <v>-6.3291671592349701</v>
      </c>
      <c r="R58" s="86">
        <f t="shared" si="6"/>
        <v>124841.07195652169</v>
      </c>
      <c r="S58" s="3">
        <f t="shared" si="14"/>
        <v>43.019633784787032</v>
      </c>
      <c r="T58" s="3">
        <f t="shared" si="15"/>
        <v>8.6039267569574065</v>
      </c>
      <c r="U58" s="3"/>
      <c r="V58" s="22">
        <f t="shared" si="7"/>
        <v>82107.730434782599</v>
      </c>
      <c r="W58" s="22"/>
      <c r="X58" s="26">
        <f t="shared" si="16"/>
        <v>410538.65217391303</v>
      </c>
      <c r="Y58" s="22">
        <f t="shared" si="18"/>
        <v>1791441.3913043479</v>
      </c>
      <c r="Z58" s="22">
        <v>400000</v>
      </c>
      <c r="AA58" s="22">
        <f t="shared" si="17"/>
        <v>1600000</v>
      </c>
      <c r="AB58" s="22">
        <f t="shared" si="12"/>
        <v>6800000</v>
      </c>
      <c r="AC58" s="4">
        <f t="shared" si="13"/>
        <v>2006</v>
      </c>
    </row>
    <row r="59" spans="1:29" x14ac:dyDescent="0.25">
      <c r="A59" s="4">
        <v>8</v>
      </c>
      <c r="B59" s="4">
        <v>2007</v>
      </c>
      <c r="C59" s="8"/>
      <c r="D59" s="4">
        <v>17</v>
      </c>
      <c r="E59" s="171">
        <f t="shared" si="19"/>
        <v>539</v>
      </c>
      <c r="F59" s="11"/>
      <c r="G59" s="26">
        <f t="shared" si="8"/>
        <v>634468.82608695654</v>
      </c>
      <c r="H59" s="22">
        <f t="shared" si="9"/>
        <v>32867234.704636924</v>
      </c>
      <c r="I59" s="55">
        <f t="shared" si="10"/>
        <v>32.867234704636921</v>
      </c>
      <c r="J59" s="5">
        <f t="shared" si="2"/>
        <v>12.689376521739131</v>
      </c>
      <c r="K59" s="5">
        <f t="shared" si="3"/>
        <v>15.861720652173913</v>
      </c>
      <c r="L59" s="5">
        <f t="shared" si="4"/>
        <v>3.1723441304347828</v>
      </c>
      <c r="M59" s="6">
        <f>CPI!$T$6</f>
        <v>0.70299999999999974</v>
      </c>
      <c r="N59" s="3">
        <f t="shared" si="11"/>
        <v>11.150789618478257</v>
      </c>
      <c r="O59" s="3">
        <f t="shared" si="5"/>
        <v>2.2301579236956517</v>
      </c>
      <c r="P59" s="179">
        <f>Rehab!J31</f>
        <v>-8.0749699359040505</v>
      </c>
      <c r="Q59" s="196">
        <f>Rehab!T31</f>
        <v>-5.8448120122083989</v>
      </c>
      <c r="R59" s="86">
        <f t="shared" si="6"/>
        <v>131185.76021739127</v>
      </c>
      <c r="S59" s="3">
        <f t="shared" si="14"/>
        <v>49.885892742395725</v>
      </c>
      <c r="T59" s="3">
        <f t="shared" si="15"/>
        <v>9.9771785484791451</v>
      </c>
      <c r="U59" s="3"/>
      <c r="V59" s="22">
        <f t="shared" si="7"/>
        <v>126893.76521739131</v>
      </c>
      <c r="W59" s="22"/>
      <c r="X59" s="26">
        <f t="shared" si="16"/>
        <v>634468.82608695654</v>
      </c>
      <c r="Y59" s="22">
        <f t="shared" si="18"/>
        <v>2425910.2173913047</v>
      </c>
      <c r="Z59" s="22">
        <v>400000</v>
      </c>
      <c r="AA59" s="22">
        <f t="shared" si="17"/>
        <v>2000000</v>
      </c>
      <c r="AB59" s="22">
        <f t="shared" si="12"/>
        <v>6800000</v>
      </c>
      <c r="AC59" s="4">
        <f t="shared" si="13"/>
        <v>2007</v>
      </c>
    </row>
    <row r="60" spans="1:29" x14ac:dyDescent="0.25">
      <c r="A60" s="4">
        <v>9</v>
      </c>
      <c r="B60" s="4">
        <v>2008</v>
      </c>
      <c r="C60" s="8"/>
      <c r="D60" s="4">
        <v>13</v>
      </c>
      <c r="E60" s="171">
        <f t="shared" si="19"/>
        <v>552</v>
      </c>
      <c r="F60" s="11"/>
      <c r="G60" s="26">
        <f t="shared" si="8"/>
        <v>485182.04347826086</v>
      </c>
      <c r="H60" s="22">
        <f t="shared" si="9"/>
        <v>33501703.530723881</v>
      </c>
      <c r="I60" s="55">
        <f t="shared" si="10"/>
        <v>33.50170353072388</v>
      </c>
      <c r="J60" s="5">
        <f t="shared" si="2"/>
        <v>9.7036408695652163</v>
      </c>
      <c r="K60" s="5">
        <f t="shared" si="3"/>
        <v>12.129551086956521</v>
      </c>
      <c r="L60" s="5">
        <f t="shared" si="4"/>
        <v>2.4259102173913041</v>
      </c>
      <c r="M60" s="6">
        <f>CPI!$S$6</f>
        <v>0.74199999999999977</v>
      </c>
      <c r="N60" s="3">
        <f t="shared" si="11"/>
        <v>9.0001269065217357</v>
      </c>
      <c r="O60" s="3">
        <f t="shared" si="5"/>
        <v>1.800025381304347</v>
      </c>
      <c r="P60" s="179">
        <f>Rehab!J32</f>
        <v>-11.023862963606234</v>
      </c>
      <c r="Q60" s="196">
        <f>Rehab!T32</f>
        <v>-9.2238375823018863</v>
      </c>
      <c r="R60" s="86">
        <f t="shared" si="6"/>
        <v>138463.49086956517</v>
      </c>
      <c r="S60" s="3">
        <f t="shared" si="14"/>
        <v>61.036682360873982</v>
      </c>
      <c r="T60" s="3">
        <f t="shared" si="15"/>
        <v>12.207336472174797</v>
      </c>
      <c r="U60" s="3"/>
      <c r="V60" s="22">
        <f t="shared" si="7"/>
        <v>97036.408695652179</v>
      </c>
      <c r="W60" s="22"/>
      <c r="X60" s="26">
        <f t="shared" si="16"/>
        <v>485182.04347826086</v>
      </c>
      <c r="Y60" s="22">
        <f t="shared" si="18"/>
        <v>2911092.2608695654</v>
      </c>
      <c r="Z60" s="22">
        <v>400000</v>
      </c>
      <c r="AA60" s="22">
        <f t="shared" si="17"/>
        <v>2400000</v>
      </c>
      <c r="AB60" s="22">
        <f t="shared" si="12"/>
        <v>6800000</v>
      </c>
      <c r="AC60" s="4">
        <f t="shared" si="13"/>
        <v>2008</v>
      </c>
    </row>
    <row r="61" spans="1:29" x14ac:dyDescent="0.25">
      <c r="A61" s="4">
        <v>10</v>
      </c>
      <c r="B61" s="4">
        <v>2009</v>
      </c>
      <c r="C61" s="8"/>
      <c r="D61" s="4">
        <v>14</v>
      </c>
      <c r="E61" s="171">
        <f t="shared" si="19"/>
        <v>566</v>
      </c>
      <c r="F61" s="11"/>
      <c r="G61" s="26">
        <f t="shared" si="8"/>
        <v>522503.73913043475</v>
      </c>
      <c r="H61" s="22">
        <f t="shared" si="9"/>
        <v>33986885.574202143</v>
      </c>
      <c r="I61" s="55">
        <f t="shared" si="10"/>
        <v>33.986885574202141</v>
      </c>
      <c r="J61" s="5">
        <f t="shared" si="2"/>
        <v>10.450074782608695</v>
      </c>
      <c r="K61" s="5">
        <f t="shared" si="3"/>
        <v>13.062593478260869</v>
      </c>
      <c r="L61" s="5">
        <f t="shared" si="4"/>
        <v>2.6125186956521738</v>
      </c>
      <c r="M61" s="6">
        <f>CPI!$R$6</f>
        <v>0.78499999999999981</v>
      </c>
      <c r="N61" s="3">
        <f t="shared" si="11"/>
        <v>10.254135880434779</v>
      </c>
      <c r="O61" s="3">
        <f t="shared" si="5"/>
        <v>2.0508271760869561</v>
      </c>
      <c r="P61" s="179">
        <f>Rehab!J33</f>
        <v>-11.88499548800263</v>
      </c>
      <c r="Q61" s="196">
        <f>Rehab!T33</f>
        <v>-9.8341683119156738</v>
      </c>
      <c r="R61" s="86">
        <f t="shared" si="6"/>
        <v>146487.65543478256</v>
      </c>
      <c r="S61" s="3">
        <f t="shared" si="14"/>
        <v>70.036809267395711</v>
      </c>
      <c r="T61" s="3">
        <f t="shared" si="15"/>
        <v>14.007361853479143</v>
      </c>
      <c r="U61" s="3"/>
      <c r="V61" s="22">
        <f t="shared" si="7"/>
        <v>104500.74782608695</v>
      </c>
      <c r="W61" s="22"/>
      <c r="X61" s="26">
        <f t="shared" si="16"/>
        <v>522503.73913043475</v>
      </c>
      <c r="Y61" s="22">
        <f t="shared" si="18"/>
        <v>3433596</v>
      </c>
      <c r="Z61" s="22">
        <v>400000</v>
      </c>
      <c r="AA61" s="22">
        <f t="shared" si="17"/>
        <v>2800000</v>
      </c>
      <c r="AB61" s="22">
        <f t="shared" si="12"/>
        <v>6800000</v>
      </c>
      <c r="AC61" s="4">
        <f t="shared" si="13"/>
        <v>2009</v>
      </c>
    </row>
    <row r="62" spans="1:29" x14ac:dyDescent="0.25">
      <c r="A62" s="4">
        <v>11</v>
      </c>
      <c r="B62" s="4">
        <v>2010</v>
      </c>
      <c r="C62" s="8"/>
      <c r="D62" s="4">
        <v>13</v>
      </c>
      <c r="E62" s="171">
        <f t="shared" si="19"/>
        <v>579</v>
      </c>
      <c r="F62" s="11"/>
      <c r="G62" s="26">
        <f t="shared" si="8"/>
        <v>485182.04347826086</v>
      </c>
      <c r="H62" s="22">
        <f t="shared" si="9"/>
        <v>34509389.31333258</v>
      </c>
      <c r="I62" s="55">
        <f t="shared" si="10"/>
        <v>34.509389313332584</v>
      </c>
      <c r="J62" s="5">
        <f t="shared" si="2"/>
        <v>9.7036408695652163</v>
      </c>
      <c r="K62" s="5">
        <f t="shared" si="3"/>
        <v>12.129551086956521</v>
      </c>
      <c r="L62" s="5">
        <f t="shared" si="4"/>
        <v>2.4259102173913041</v>
      </c>
      <c r="M62" s="6">
        <f>CPI!$Q$6</f>
        <v>0.80999999999999983</v>
      </c>
      <c r="N62" s="3">
        <f t="shared" si="11"/>
        <v>9.8249363804347798</v>
      </c>
      <c r="O62" s="3">
        <f t="shared" si="5"/>
        <v>1.964987276086956</v>
      </c>
      <c r="P62" s="179">
        <f>Rehab!J34</f>
        <v>-7.444930926712118</v>
      </c>
      <c r="Q62" s="196">
        <f>Rehab!T34</f>
        <v>-5.4799436506251622</v>
      </c>
      <c r="R62" s="86">
        <f t="shared" si="6"/>
        <v>151152.86739130432</v>
      </c>
      <c r="S62" s="3">
        <f t="shared" si="14"/>
        <v>80.290945147830485</v>
      </c>
      <c r="T62" s="3">
        <f t="shared" si="15"/>
        <v>16.058189029566098</v>
      </c>
      <c r="U62" s="3"/>
      <c r="V62" s="22">
        <f t="shared" si="7"/>
        <v>97036.408695652179</v>
      </c>
      <c r="W62" s="22"/>
      <c r="X62" s="26">
        <f t="shared" si="16"/>
        <v>485182.04347826086</v>
      </c>
      <c r="Y62" s="22">
        <f t="shared" si="18"/>
        <v>3918778.0434782607</v>
      </c>
      <c r="Z62" s="22">
        <v>400000</v>
      </c>
      <c r="AA62" s="22">
        <f t="shared" si="17"/>
        <v>3200000</v>
      </c>
      <c r="AB62" s="22">
        <f t="shared" si="12"/>
        <v>6800000</v>
      </c>
      <c r="AC62" s="4">
        <f t="shared" si="13"/>
        <v>2010</v>
      </c>
    </row>
    <row r="63" spans="1:29" x14ac:dyDescent="0.25">
      <c r="A63" s="4">
        <v>12</v>
      </c>
      <c r="B63" s="4">
        <v>2011</v>
      </c>
      <c r="C63" s="8"/>
      <c r="D63" s="4">
        <v>14</v>
      </c>
      <c r="E63" s="171">
        <f t="shared" si="19"/>
        <v>593</v>
      </c>
      <c r="F63" s="11"/>
      <c r="G63" s="26">
        <f t="shared" si="8"/>
        <v>522503.73913043475</v>
      </c>
      <c r="H63" s="22">
        <f t="shared" si="9"/>
        <v>34994571.356810838</v>
      </c>
      <c r="I63" s="55">
        <f t="shared" si="10"/>
        <v>34.994571356810837</v>
      </c>
      <c r="J63" s="5">
        <f t="shared" si="2"/>
        <v>10.450074782608695</v>
      </c>
      <c r="K63" s="5">
        <f t="shared" si="3"/>
        <v>13.062593478260869</v>
      </c>
      <c r="L63" s="5">
        <f t="shared" si="4"/>
        <v>2.6125186956521738</v>
      </c>
      <c r="M63" s="6">
        <f>CPI!$P$6</f>
        <v>0.84099999999999986</v>
      </c>
      <c r="N63" s="3">
        <f t="shared" si="11"/>
        <v>10.985641115217389</v>
      </c>
      <c r="O63" s="3">
        <f t="shared" si="5"/>
        <v>2.1971282230434777</v>
      </c>
      <c r="P63" s="179">
        <f>Rehab!J35</f>
        <v>-9.1212637479946466</v>
      </c>
      <c r="Q63" s="196">
        <f>Rehab!T35</f>
        <v>-6.9241355249511685</v>
      </c>
      <c r="R63" s="86">
        <f t="shared" si="6"/>
        <v>156937.73021739128</v>
      </c>
      <c r="S63" s="3">
        <f t="shared" si="14"/>
        <v>90.115881528265263</v>
      </c>
      <c r="T63" s="3">
        <f t="shared" si="15"/>
        <v>18.023176305653053</v>
      </c>
      <c r="U63" s="3"/>
      <c r="V63" s="22">
        <f t="shared" si="7"/>
        <v>104500.74782608695</v>
      </c>
      <c r="W63" s="22"/>
      <c r="X63" s="26">
        <f t="shared" si="16"/>
        <v>522503.73913043475</v>
      </c>
      <c r="Y63" s="22">
        <f t="shared" si="18"/>
        <v>4441281.7826086953</v>
      </c>
      <c r="Z63" s="22">
        <v>400000</v>
      </c>
      <c r="AA63" s="22">
        <f t="shared" si="17"/>
        <v>3600000</v>
      </c>
      <c r="AB63" s="22">
        <f t="shared" si="12"/>
        <v>6800000</v>
      </c>
      <c r="AC63" s="4">
        <f t="shared" si="13"/>
        <v>2011</v>
      </c>
    </row>
    <row r="64" spans="1:29" x14ac:dyDescent="0.25">
      <c r="A64" s="4">
        <v>13</v>
      </c>
      <c r="B64" s="4">
        <v>2012</v>
      </c>
      <c r="C64" s="8"/>
      <c r="D64" s="4">
        <v>25</v>
      </c>
      <c r="E64" s="171">
        <f t="shared" si="19"/>
        <v>618</v>
      </c>
      <c r="F64" s="11"/>
      <c r="G64" s="26">
        <f t="shared" si="8"/>
        <v>933042.39130434778</v>
      </c>
      <c r="H64" s="22">
        <f t="shared" si="9"/>
        <v>35517075.095941275</v>
      </c>
      <c r="I64" s="55">
        <f t="shared" si="10"/>
        <v>35.517075095941273</v>
      </c>
      <c r="J64" s="5">
        <f t="shared" si="2"/>
        <v>18.660847826086957</v>
      </c>
      <c r="K64" s="5">
        <f t="shared" si="3"/>
        <v>23.326059782608695</v>
      </c>
      <c r="L64" s="5">
        <f t="shared" si="4"/>
        <v>4.6652119565217394</v>
      </c>
      <c r="M64" s="6">
        <f>CPI!$O$6</f>
        <v>0.86499999999999988</v>
      </c>
      <c r="N64" s="3">
        <f t="shared" si="11"/>
        <v>20.17704171195652</v>
      </c>
      <c r="O64" s="3">
        <f t="shared" si="5"/>
        <v>4.0354083423913041</v>
      </c>
      <c r="P64" s="179">
        <f>Rehab!J36</f>
        <v>-5.6275471636158159</v>
      </c>
      <c r="Q64" s="196">
        <f>Rehab!T36</f>
        <v>-1.5921388212245118</v>
      </c>
      <c r="R64" s="86">
        <f t="shared" si="6"/>
        <v>161416.33369565217</v>
      </c>
      <c r="S64" s="3">
        <f t="shared" si="14"/>
        <v>101.10152264348265</v>
      </c>
      <c r="T64" s="3">
        <f t="shared" si="15"/>
        <v>20.220304528696531</v>
      </c>
      <c r="U64" s="3"/>
      <c r="V64" s="22">
        <f t="shared" si="7"/>
        <v>186608.47826086957</v>
      </c>
      <c r="W64" s="22"/>
      <c r="X64" s="26">
        <f t="shared" si="16"/>
        <v>933042.39130434778</v>
      </c>
      <c r="Y64" s="22">
        <f t="shared" si="18"/>
        <v>5374324.173913043</v>
      </c>
      <c r="Z64" s="22">
        <v>400000</v>
      </c>
      <c r="AA64" s="22">
        <f t="shared" si="17"/>
        <v>4000000</v>
      </c>
      <c r="AB64" s="22">
        <f t="shared" si="12"/>
        <v>6800000</v>
      </c>
      <c r="AC64" s="4">
        <f t="shared" si="13"/>
        <v>2012</v>
      </c>
    </row>
    <row r="65" spans="1:31" x14ac:dyDescent="0.25">
      <c r="A65" s="4">
        <v>14</v>
      </c>
      <c r="B65" s="4">
        <v>2013</v>
      </c>
      <c r="C65" s="2"/>
      <c r="D65" s="4">
        <v>21</v>
      </c>
      <c r="E65" s="171">
        <f t="shared" si="19"/>
        <v>639</v>
      </c>
      <c r="F65" s="11"/>
      <c r="G65" s="26">
        <f t="shared" si="8"/>
        <v>783755.6086956521</v>
      </c>
      <c r="H65" s="22">
        <f t="shared" si="9"/>
        <v>36450117.487245627</v>
      </c>
      <c r="I65" s="55">
        <f t="shared" si="10"/>
        <v>36.450117487245628</v>
      </c>
      <c r="J65" s="5">
        <f t="shared" si="2"/>
        <v>15.675112173913043</v>
      </c>
      <c r="K65" s="5">
        <f t="shared" si="3"/>
        <v>19.593890217391301</v>
      </c>
      <c r="L65" s="5">
        <f t="shared" si="4"/>
        <v>3.9187780434782606</v>
      </c>
      <c r="M65" s="6">
        <f>CPI!$N$6</f>
        <v>0.8869999999999999</v>
      </c>
      <c r="N65" s="3">
        <f t="shared" si="11"/>
        <v>17.379780622826082</v>
      </c>
      <c r="O65" s="3">
        <f t="shared" si="5"/>
        <v>3.4759561245652169</v>
      </c>
      <c r="P65" s="179">
        <f>Rehab!J37</f>
        <v>-7.5673754274345697</v>
      </c>
      <c r="Q65" s="196">
        <f>Rehab!T37</f>
        <v>-4.0914193028693528</v>
      </c>
      <c r="R65" s="86">
        <f t="shared" si="6"/>
        <v>165521.7202173913</v>
      </c>
      <c r="S65" s="3">
        <f t="shared" si="14"/>
        <v>121.27856435543917</v>
      </c>
      <c r="T65" s="3">
        <f t="shared" si="15"/>
        <v>24.255712871087834</v>
      </c>
      <c r="U65" s="3"/>
      <c r="V65" s="22">
        <f t="shared" si="7"/>
        <v>156751.12173913041</v>
      </c>
      <c r="W65" s="22"/>
      <c r="X65" s="26">
        <f t="shared" si="16"/>
        <v>783755.6086956521</v>
      </c>
      <c r="Y65" s="22">
        <f t="shared" si="18"/>
        <v>6158079.7826086953</v>
      </c>
      <c r="Z65" s="22">
        <v>400000</v>
      </c>
      <c r="AA65" s="22">
        <f t="shared" si="17"/>
        <v>4400000</v>
      </c>
      <c r="AB65" s="22">
        <f t="shared" si="12"/>
        <v>6800000</v>
      </c>
      <c r="AC65" s="4">
        <f t="shared" si="13"/>
        <v>2013</v>
      </c>
    </row>
    <row r="66" spans="1:31" x14ac:dyDescent="0.25">
      <c r="A66" s="4">
        <v>15</v>
      </c>
      <c r="B66" s="4">
        <v>2014</v>
      </c>
      <c r="C66" s="8"/>
      <c r="D66" s="4">
        <v>24</v>
      </c>
      <c r="E66" s="171">
        <f t="shared" si="19"/>
        <v>663</v>
      </c>
      <c r="F66" s="11"/>
      <c r="G66" s="26">
        <f t="shared" si="8"/>
        <v>895720.69565217383</v>
      </c>
      <c r="H66" s="22">
        <f t="shared" si="9"/>
        <v>37233873.095941275</v>
      </c>
      <c r="I66" s="55">
        <f t="shared" si="10"/>
        <v>37.233873095941277</v>
      </c>
      <c r="J66" s="5">
        <f t="shared" si="2"/>
        <v>17.914413913043475</v>
      </c>
      <c r="K66" s="5">
        <f t="shared" si="3"/>
        <v>22.393017391304344</v>
      </c>
      <c r="L66" s="5">
        <f t="shared" si="4"/>
        <v>4.4786034782608688</v>
      </c>
      <c r="M66" s="6">
        <f>CPI!$M$6</f>
        <v>0.91299999999999992</v>
      </c>
      <c r="N66" s="3">
        <f t="shared" si="11"/>
        <v>20.444824878260864</v>
      </c>
      <c r="O66" s="3">
        <f t="shared" si="5"/>
        <v>4.0889649756521731</v>
      </c>
      <c r="P66" s="179">
        <f>Rehab!J38</f>
        <v>-7.8512882182638464</v>
      </c>
      <c r="Q66" s="196">
        <f>Rehab!T38</f>
        <v>-3.7623232426116733</v>
      </c>
      <c r="R66" s="86">
        <f t="shared" si="6"/>
        <v>170373.54065217389</v>
      </c>
      <c r="S66" s="3">
        <f t="shared" si="14"/>
        <v>138.65834497826526</v>
      </c>
      <c r="T66" s="3">
        <f t="shared" si="15"/>
        <v>27.731668995653052</v>
      </c>
      <c r="U66" s="3"/>
      <c r="V66" s="22">
        <f t="shared" si="7"/>
        <v>179144.13913043478</v>
      </c>
      <c r="W66" s="22"/>
      <c r="X66" s="26">
        <f t="shared" si="16"/>
        <v>895720.69565217383</v>
      </c>
      <c r="Y66" s="22">
        <f t="shared" si="18"/>
        <v>7053800.4782608692</v>
      </c>
      <c r="Z66" s="22">
        <v>400000</v>
      </c>
      <c r="AA66" s="22">
        <f t="shared" si="17"/>
        <v>4800000</v>
      </c>
      <c r="AB66" s="22">
        <f t="shared" si="12"/>
        <v>6800000</v>
      </c>
      <c r="AC66" s="4">
        <f t="shared" si="13"/>
        <v>2014</v>
      </c>
    </row>
    <row r="67" spans="1:31" x14ac:dyDescent="0.25">
      <c r="A67" s="4">
        <v>16</v>
      </c>
      <c r="B67" s="4">
        <v>2015</v>
      </c>
      <c r="D67" s="4">
        <v>18</v>
      </c>
      <c r="E67" s="171">
        <f t="shared" si="19"/>
        <v>681</v>
      </c>
      <c r="F67" s="11"/>
      <c r="G67" s="26">
        <f t="shared" si="8"/>
        <v>671790.52173913037</v>
      </c>
      <c r="H67" s="22">
        <f t="shared" si="9"/>
        <v>38129593.791593447</v>
      </c>
      <c r="I67" s="55">
        <f t="shared" si="10"/>
        <v>38.12959379159345</v>
      </c>
      <c r="J67" s="5">
        <f t="shared" si="2"/>
        <v>13.435810434782608</v>
      </c>
      <c r="K67" s="5">
        <f t="shared" si="3"/>
        <v>16.794763043478259</v>
      </c>
      <c r="L67" s="5">
        <f t="shared" si="4"/>
        <v>3.358952608695652</v>
      </c>
      <c r="M67" s="6">
        <f>CPI!$L$6</f>
        <v>0.93299999999999994</v>
      </c>
      <c r="N67" s="3">
        <f t="shared" si="11"/>
        <v>15.669513919565215</v>
      </c>
      <c r="O67" s="3">
        <f t="shared" si="5"/>
        <v>3.1339027839130433</v>
      </c>
      <c r="P67" s="179">
        <f>Rehab!J39</f>
        <v>-7.6353458787806403</v>
      </c>
      <c r="Q67" s="196">
        <f>Rehab!T39</f>
        <v>-4.5014430948675965</v>
      </c>
      <c r="R67" s="86">
        <f t="shared" si="6"/>
        <v>174105.71021739129</v>
      </c>
      <c r="S67" s="3">
        <f t="shared" si="14"/>
        <v>159.10316985652614</v>
      </c>
      <c r="T67" s="3">
        <f t="shared" si="15"/>
        <v>31.820633971305227</v>
      </c>
      <c r="U67" s="3"/>
      <c r="V67" s="22">
        <f t="shared" si="7"/>
        <v>134358.10434782607</v>
      </c>
      <c r="W67" s="22"/>
      <c r="X67" s="26">
        <f t="shared" si="16"/>
        <v>671790.52173913037</v>
      </c>
      <c r="Y67" s="22">
        <f t="shared" si="18"/>
        <v>7725591</v>
      </c>
      <c r="Z67" s="22">
        <v>400000</v>
      </c>
      <c r="AA67" s="22">
        <f t="shared" si="17"/>
        <v>5200000</v>
      </c>
      <c r="AB67" s="22">
        <f t="shared" si="12"/>
        <v>6800000</v>
      </c>
      <c r="AC67" s="4">
        <f t="shared" si="13"/>
        <v>2015</v>
      </c>
      <c r="AD67" s="22">
        <v>1000000</v>
      </c>
      <c r="AE67">
        <v>12000000</v>
      </c>
    </row>
    <row r="68" spans="1:31" x14ac:dyDescent="0.25">
      <c r="A68" s="4">
        <v>17</v>
      </c>
      <c r="B68" s="4">
        <v>2016</v>
      </c>
      <c r="D68" s="4">
        <v>29</v>
      </c>
      <c r="E68" s="171">
        <f t="shared" si="19"/>
        <v>710</v>
      </c>
      <c r="F68" s="11"/>
      <c r="G68" s="26">
        <f t="shared" si="8"/>
        <v>1082329.1739130435</v>
      </c>
      <c r="H68" s="22">
        <f t="shared" si="9"/>
        <v>38801384.31333258</v>
      </c>
      <c r="I68" s="55">
        <f t="shared" si="10"/>
        <v>38.801384313332584</v>
      </c>
      <c r="J68" s="5">
        <f t="shared" si="2"/>
        <v>21.646583478260869</v>
      </c>
      <c r="K68" s="5">
        <f t="shared" si="3"/>
        <v>27.058229347826085</v>
      </c>
      <c r="L68" s="5">
        <f t="shared" si="4"/>
        <v>5.4116458695652172</v>
      </c>
      <c r="M68" s="6">
        <f>CPI!$K$6</f>
        <v>0.95</v>
      </c>
      <c r="N68" s="3">
        <f t="shared" si="11"/>
        <v>25.70531788043478</v>
      </c>
      <c r="O68" s="3">
        <f t="shared" si="5"/>
        <v>5.1410635760869559</v>
      </c>
      <c r="P68" s="179">
        <f>Rehab!J40</f>
        <v>-3.784645164491053</v>
      </c>
      <c r="Q68" s="196">
        <f>Rehab!T40</f>
        <v>1.3564184115959028</v>
      </c>
      <c r="R68" s="86">
        <f t="shared" si="6"/>
        <v>177278.05434782605</v>
      </c>
      <c r="S68" s="3">
        <f t="shared" si="14"/>
        <v>174.77268377609136</v>
      </c>
      <c r="T68" s="3">
        <f t="shared" si="15"/>
        <v>34.954536755218271</v>
      </c>
      <c r="U68" s="3"/>
      <c r="V68" s="22">
        <f t="shared" si="7"/>
        <v>216465.8347826087</v>
      </c>
      <c r="W68" s="22"/>
      <c r="X68" s="26">
        <f t="shared" si="16"/>
        <v>1082329.1739130435</v>
      </c>
      <c r="Y68" s="246">
        <f t="shared" si="18"/>
        <v>8807920.173913043</v>
      </c>
      <c r="Z68" s="22">
        <v>400000</v>
      </c>
      <c r="AA68" s="22">
        <f t="shared" si="17"/>
        <v>5600000</v>
      </c>
      <c r="AB68" s="22">
        <f t="shared" si="12"/>
        <v>6800000</v>
      </c>
      <c r="AC68" s="4">
        <f t="shared" si="13"/>
        <v>2016</v>
      </c>
    </row>
    <row r="69" spans="1:31" x14ac:dyDescent="0.25">
      <c r="A69" s="4">
        <v>18</v>
      </c>
      <c r="B69" s="4">
        <v>2017</v>
      </c>
      <c r="D69" s="4">
        <v>26</v>
      </c>
      <c r="E69" s="171">
        <f t="shared" si="19"/>
        <v>736</v>
      </c>
      <c r="F69" s="11"/>
      <c r="G69" s="26">
        <f t="shared" si="8"/>
        <v>970364.08695652173</v>
      </c>
      <c r="H69" s="22">
        <f t="shared" si="9"/>
        <v>39883713.487245627</v>
      </c>
      <c r="I69" s="55">
        <f t="shared" si="10"/>
        <v>39.883713487245629</v>
      </c>
      <c r="J69" s="5">
        <f t="shared" si="2"/>
        <v>19.407281739130433</v>
      </c>
      <c r="K69" s="5">
        <f t="shared" si="3"/>
        <v>24.259102173913043</v>
      </c>
      <c r="L69" s="5">
        <f t="shared" si="4"/>
        <v>4.8518204347826082</v>
      </c>
      <c r="M69" s="6">
        <f>CPI!$J$6</f>
        <v>0.96599999999999997</v>
      </c>
      <c r="N69" s="3">
        <f t="shared" si="11"/>
        <v>23.434292699999997</v>
      </c>
      <c r="O69" s="3">
        <f t="shared" si="5"/>
        <v>4.6868585399999994</v>
      </c>
      <c r="P69" s="179">
        <f>Rehab!J41</f>
        <v>-5.997985420019404</v>
      </c>
      <c r="Q69" s="196">
        <f>Rehab!T41</f>
        <v>-1.3111268800194047</v>
      </c>
      <c r="R69" s="86">
        <f t="shared" si="6"/>
        <v>180263.78999999998</v>
      </c>
      <c r="S69" s="3">
        <f t="shared" si="14"/>
        <v>200.47800165652615</v>
      </c>
      <c r="T69" s="3">
        <f t="shared" si="15"/>
        <v>40.095600331305228</v>
      </c>
      <c r="U69" s="3"/>
      <c r="V69" s="22">
        <f t="shared" si="7"/>
        <v>194072.81739130436</v>
      </c>
      <c r="W69" s="22"/>
      <c r="X69" s="26">
        <f t="shared" si="16"/>
        <v>970364.08695652173</v>
      </c>
      <c r="Y69" s="246">
        <f t="shared" si="18"/>
        <v>9778284.2608695645</v>
      </c>
      <c r="Z69" s="22">
        <v>400000</v>
      </c>
      <c r="AA69" s="22">
        <f t="shared" si="17"/>
        <v>6000000</v>
      </c>
      <c r="AB69" s="22">
        <f t="shared" si="12"/>
        <v>6800000</v>
      </c>
      <c r="AC69" s="4">
        <f t="shared" si="13"/>
        <v>2017</v>
      </c>
    </row>
    <row r="70" spans="1:31" x14ac:dyDescent="0.25">
      <c r="A70" s="4">
        <v>19</v>
      </c>
      <c r="B70" s="4">
        <v>2018</v>
      </c>
      <c r="D70">
        <v>22</v>
      </c>
      <c r="E70" s="171">
        <f t="shared" si="19"/>
        <v>758</v>
      </c>
      <c r="F70" s="11"/>
      <c r="G70" s="26">
        <f t="shared" si="8"/>
        <v>821077.30434782605</v>
      </c>
      <c r="H70" s="22">
        <f>H71-G70</f>
        <v>40854077.57420215</v>
      </c>
      <c r="I70" s="55">
        <f t="shared" si="10"/>
        <v>40.854077574202151</v>
      </c>
      <c r="J70" s="5">
        <f t="shared" si="2"/>
        <v>16.421546086956521</v>
      </c>
      <c r="K70" s="5">
        <f t="shared" si="3"/>
        <v>20.526932608695653</v>
      </c>
      <c r="L70" s="5">
        <f t="shared" si="4"/>
        <v>4.1053865217391303</v>
      </c>
      <c r="M70" s="6">
        <f>CPI!$I$6</f>
        <v>0.98499999999999999</v>
      </c>
      <c r="N70" s="3">
        <f t="shared" si="11"/>
        <v>20.219028619565218</v>
      </c>
      <c r="O70" s="3">
        <f t="shared" si="5"/>
        <v>4.0438057239130432</v>
      </c>
      <c r="P70" s="179">
        <f>Rehab!J42</f>
        <v>-7.3316238493014794</v>
      </c>
      <c r="Q70" s="196">
        <f>Rehab!T42</f>
        <v>-3.2878181253884362</v>
      </c>
      <c r="R70" s="86">
        <f t="shared" si="6"/>
        <v>183809.35108695651</v>
      </c>
      <c r="S70" s="3">
        <f t="shared" si="14"/>
        <v>223.91229435652613</v>
      </c>
      <c r="T70" s="3">
        <f t="shared" si="15"/>
        <v>44.782458871305224</v>
      </c>
      <c r="U70" s="3"/>
      <c r="V70" s="22">
        <f t="shared" si="7"/>
        <v>164215.4608695652</v>
      </c>
      <c r="W70" s="22"/>
      <c r="X70" s="26">
        <f t="shared" si="16"/>
        <v>821077.30434782605</v>
      </c>
      <c r="Y70" s="246">
        <f t="shared" si="18"/>
        <v>10599361.565217391</v>
      </c>
      <c r="Z70" s="22">
        <v>400000</v>
      </c>
      <c r="AA70" s="22">
        <f t="shared" si="17"/>
        <v>6400000</v>
      </c>
      <c r="AB70" s="22">
        <f t="shared" si="12"/>
        <v>6800000</v>
      </c>
      <c r="AC70" s="4">
        <f t="shared" si="13"/>
        <v>2018</v>
      </c>
    </row>
    <row r="71" spans="1:31" x14ac:dyDescent="0.25">
      <c r="A71" s="4">
        <v>20</v>
      </c>
      <c r="B71" s="4">
        <v>2019</v>
      </c>
      <c r="D71">
        <v>10</v>
      </c>
      <c r="E71" s="171">
        <f t="shared" si="19"/>
        <v>768</v>
      </c>
      <c r="F71" s="11"/>
      <c r="G71" s="26">
        <f t="shared" si="8"/>
        <v>373216.95652173914</v>
      </c>
      <c r="H71" s="22">
        <f>H72-G71</f>
        <v>41675154.878549978</v>
      </c>
      <c r="I71" s="55">
        <f t="shared" si="10"/>
        <v>41.675154878549975</v>
      </c>
      <c r="J71" s="5">
        <f>G71*$D$8/1000000</f>
        <v>7.4643391304347828</v>
      </c>
      <c r="K71" s="5">
        <f t="shared" si="3"/>
        <v>9.3304239130434787</v>
      </c>
      <c r="L71" s="5">
        <f t="shared" si="4"/>
        <v>1.8660847826086957</v>
      </c>
      <c r="M71" s="6">
        <v>1</v>
      </c>
      <c r="N71" s="3">
        <f t="shared" si="11"/>
        <v>9.3304239130434787</v>
      </c>
      <c r="O71" s="29">
        <f t="shared" si="5"/>
        <v>1.8660847826086957</v>
      </c>
      <c r="P71" s="179">
        <f>Rehab!J43</f>
        <v>-7.5585003224982188</v>
      </c>
      <c r="Q71" s="196">
        <f>Rehab!T43</f>
        <v>-5.6924155398895229</v>
      </c>
      <c r="R71" s="86">
        <f t="shared" si="6"/>
        <v>186608.47826086957</v>
      </c>
      <c r="S71" s="3">
        <f t="shared" si="14"/>
        <v>244.13132297609135</v>
      </c>
      <c r="T71" s="3">
        <f t="shared" si="15"/>
        <v>48.826264595218269</v>
      </c>
      <c r="U71" s="3"/>
      <c r="V71" s="22">
        <f t="shared" si="7"/>
        <v>74643.391304347824</v>
      </c>
      <c r="W71" s="22"/>
      <c r="X71" s="26">
        <f t="shared" si="16"/>
        <v>373216.95652173914</v>
      </c>
      <c r="Y71" s="246">
        <f t="shared" si="18"/>
        <v>10972578.521739129</v>
      </c>
      <c r="Z71" s="22">
        <v>400000</v>
      </c>
      <c r="AA71" s="22">
        <f t="shared" si="17"/>
        <v>6800000</v>
      </c>
      <c r="AB71" s="22">
        <f t="shared" si="12"/>
        <v>6800000</v>
      </c>
      <c r="AC71" s="4">
        <f t="shared" si="13"/>
        <v>2019</v>
      </c>
    </row>
    <row r="72" spans="1:31" s="40" customFormat="1" x14ac:dyDescent="0.25">
      <c r="C72" s="40" t="s">
        <v>6</v>
      </c>
      <c r="D72" s="188">
        <f>SUM(D52:D71)</f>
        <v>338.98012442267975</v>
      </c>
      <c r="E72" s="189"/>
      <c r="F72" s="189" t="s">
        <v>5</v>
      </c>
      <c r="G72" s="190">
        <f>SUM(G52:G71)</f>
        <v>12651313.035839299</v>
      </c>
      <c r="H72" s="191">
        <f>HoleSize!$C$58</f>
        <v>42048371.83507172</v>
      </c>
      <c r="I72" s="66">
        <f t="shared" si="10"/>
        <v>42.04837183507172</v>
      </c>
      <c r="J72" s="192">
        <f>SUM(J52:J71)</f>
        <v>253.026260716786</v>
      </c>
      <c r="K72" s="192">
        <f>SUM(K52:K71)</f>
        <v>316.28282589598251</v>
      </c>
      <c r="L72" s="192">
        <f>SUM(L52:L71)</f>
        <v>63.2565651791965</v>
      </c>
      <c r="M72" s="188"/>
      <c r="N72" s="192">
        <f>SUM(N52:N71)</f>
        <v>253.46174688913484</v>
      </c>
      <c r="O72" s="192">
        <f>SUM(O52:O71)</f>
        <v>50.692349377826964</v>
      </c>
      <c r="P72" s="192">
        <f t="shared" ref="P72:Q72" si="20">SUM(P52:P71)</f>
        <v>-136.42196439629464</v>
      </c>
      <c r="Q72" s="193">
        <f t="shared" si="20"/>
        <v>-88.221367678468567</v>
      </c>
      <c r="R72" s="191"/>
      <c r="S72" s="194">
        <f t="shared" si="14"/>
        <v>253.46174688913484</v>
      </c>
      <c r="T72" s="194">
        <f t="shared" si="15"/>
        <v>50.692349377826964</v>
      </c>
      <c r="U72" s="195"/>
      <c r="V72" s="191">
        <f t="shared" si="7"/>
        <v>2530262.6071678596</v>
      </c>
      <c r="W72" s="191"/>
      <c r="Z72" s="22">
        <v>400000</v>
      </c>
      <c r="AA72" s="72">
        <f t="shared" si="17"/>
        <v>7200000</v>
      </c>
      <c r="AB72" s="22">
        <f t="shared" si="12"/>
        <v>6800000</v>
      </c>
      <c r="AC72" s="4">
        <f t="shared" si="13"/>
        <v>2020</v>
      </c>
    </row>
    <row r="73" spans="1:31" s="40" customFormat="1" x14ac:dyDescent="0.25">
      <c r="C73" s="40" t="s">
        <v>20</v>
      </c>
      <c r="D73" s="188">
        <f>AVERAGEA(D52:D71)</f>
        <v>16.949006221133988</v>
      </c>
      <c r="F73" s="40" t="s">
        <v>457</v>
      </c>
      <c r="G73" s="191">
        <f>AVERAGEA(G52:G71)</f>
        <v>632565.65179196489</v>
      </c>
      <c r="J73" s="191">
        <f t="shared" ref="J73:Q73" si="21">AVERAGEA(J52:J71)</f>
        <v>12.6513130358393</v>
      </c>
      <c r="K73" s="191">
        <f t="shared" si="21"/>
        <v>15.814141294799125</v>
      </c>
      <c r="L73" s="191">
        <f t="shared" si="21"/>
        <v>3.1628282589598249</v>
      </c>
      <c r="M73" s="191"/>
      <c r="N73" s="191"/>
      <c r="O73" s="191">
        <f t="shared" si="21"/>
        <v>2.5346174688913483</v>
      </c>
      <c r="P73" s="191">
        <f t="shared" si="21"/>
        <v>-7.5789980220163686</v>
      </c>
      <c r="Q73" s="191">
        <f t="shared" si="21"/>
        <v>-4.9011870932482537</v>
      </c>
      <c r="R73" s="191">
        <f>AVERAGEA(R52:R71)</f>
        <v>143912.45843478257</v>
      </c>
      <c r="S73" s="191">
        <f t="shared" ref="S73:T73" si="22">AVERAGEA(S52:S71)</f>
        <v>92.953410984134635</v>
      </c>
      <c r="T73" s="191">
        <f t="shared" si="22"/>
        <v>18.590682196826926</v>
      </c>
      <c r="V73" s="191">
        <f t="shared" si="7"/>
        <v>126513.13035839298</v>
      </c>
      <c r="W73" s="191"/>
      <c r="Z73" s="22">
        <v>400000</v>
      </c>
      <c r="AA73" s="72">
        <f t="shared" si="17"/>
        <v>7600000</v>
      </c>
      <c r="AB73" s="22">
        <f t="shared" si="12"/>
        <v>6800000</v>
      </c>
      <c r="AC73" s="4">
        <f t="shared" si="13"/>
        <v>2021</v>
      </c>
    </row>
    <row r="74" spans="1:31" x14ac:dyDescent="0.25">
      <c r="A74" t="s">
        <v>263</v>
      </c>
      <c r="C74" s="153" t="s">
        <v>537</v>
      </c>
      <c r="D74" s="166">
        <f>SUM(D49:D71)</f>
        <v>366.87809408072684</v>
      </c>
      <c r="E74" s="86">
        <f>SUM(G49:G71)</f>
        <v>13902496.035839299</v>
      </c>
      <c r="F74" s="53"/>
      <c r="G74" s="86">
        <f>SUM(G49:G71)</f>
        <v>13902496.035839299</v>
      </c>
      <c r="H74" s="54"/>
      <c r="I74" s="54"/>
      <c r="J74" s="54"/>
      <c r="M74" s="172"/>
      <c r="N74" s="168"/>
      <c r="O74" s="168"/>
      <c r="Q74" s="180"/>
      <c r="Z74" s="22">
        <v>400000</v>
      </c>
      <c r="AA74" s="72">
        <f t="shared" si="17"/>
        <v>8000000</v>
      </c>
      <c r="AB74" s="22">
        <f t="shared" si="12"/>
        <v>6800000</v>
      </c>
      <c r="AC74" s="4">
        <f t="shared" si="13"/>
        <v>2022</v>
      </c>
    </row>
    <row r="75" spans="1:31" x14ac:dyDescent="0.25">
      <c r="C75" s="153" t="s">
        <v>443</v>
      </c>
      <c r="D75" s="166">
        <f>SUM(D53:D71)</f>
        <v>327</v>
      </c>
      <c r="E75" s="250">
        <f>SUM(G53:G71)</f>
        <v>12204194.478260867</v>
      </c>
      <c r="F75" s="77" t="s">
        <v>104</v>
      </c>
      <c r="G75" s="77"/>
      <c r="H75" s="67">
        <f>SUM(G53:G62)</f>
        <v>5150393.9999999991</v>
      </c>
      <c r="I75" s="67">
        <f>H75-H76</f>
        <v>0</v>
      </c>
      <c r="K75" s="252" t="s">
        <v>550</v>
      </c>
      <c r="L75" s="170">
        <f>G72/D72</f>
        <v>37321.695652173912</v>
      </c>
      <c r="M75" s="252" t="s">
        <v>21</v>
      </c>
      <c r="N75" s="22"/>
      <c r="P75" s="48"/>
      <c r="Z75" s="22">
        <v>400000</v>
      </c>
      <c r="AA75" s="72">
        <f t="shared" si="17"/>
        <v>8400000</v>
      </c>
      <c r="AB75" s="22">
        <f t="shared" si="12"/>
        <v>6800000</v>
      </c>
      <c r="AC75" s="4">
        <f t="shared" si="13"/>
        <v>2023</v>
      </c>
      <c r="AD75" s="4"/>
    </row>
    <row r="76" spans="1:31" s="48" customFormat="1" x14ac:dyDescent="0.25">
      <c r="C76" s="153" t="s">
        <v>442</v>
      </c>
      <c r="D76" s="166">
        <f>SUM(D54:D71)</f>
        <v>312</v>
      </c>
      <c r="E76" s="250">
        <f>SUM(G54:G71)</f>
        <v>11644369.043478258</v>
      </c>
      <c r="F76" s="77" t="s">
        <v>105</v>
      </c>
      <c r="G76" s="77"/>
      <c r="H76" s="67">
        <v>5150394</v>
      </c>
      <c r="I76" s="169">
        <f>I75/H76</f>
        <v>0</v>
      </c>
      <c r="J76" s="67"/>
      <c r="N76" s="22"/>
      <c r="P76" s="22"/>
      <c r="Z76" s="22">
        <v>400000</v>
      </c>
      <c r="AA76" s="72">
        <f t="shared" si="17"/>
        <v>8800000</v>
      </c>
      <c r="AB76" s="22">
        <f t="shared" si="12"/>
        <v>6800000</v>
      </c>
      <c r="AC76" s="4">
        <f t="shared" si="13"/>
        <v>2024</v>
      </c>
      <c r="AD76" s="4"/>
    </row>
    <row r="77" spans="1:31" x14ac:dyDescent="0.25">
      <c r="B77">
        <v>2020</v>
      </c>
      <c r="H77" s="68"/>
      <c r="I77" s="68"/>
      <c r="J77" s="68"/>
      <c r="P77" s="31"/>
      <c r="Z77" s="22">
        <v>400000</v>
      </c>
      <c r="AA77" s="72">
        <f t="shared" si="17"/>
        <v>9200000</v>
      </c>
      <c r="AB77" s="22">
        <f t="shared" si="12"/>
        <v>6800000</v>
      </c>
      <c r="AC77" s="4">
        <f t="shared" si="13"/>
        <v>2025</v>
      </c>
      <c r="AD77" s="4"/>
    </row>
    <row r="78" spans="1:31" x14ac:dyDescent="0.25">
      <c r="B78">
        <f>B77+1</f>
        <v>2021</v>
      </c>
      <c r="P78" s="22"/>
      <c r="Z78" s="22">
        <v>400000</v>
      </c>
      <c r="AA78" s="72">
        <f t="shared" si="17"/>
        <v>9600000</v>
      </c>
      <c r="AB78" s="22">
        <f t="shared" si="12"/>
        <v>6800000</v>
      </c>
      <c r="AC78" s="4">
        <f t="shared" si="13"/>
        <v>2026</v>
      </c>
      <c r="AD78" s="4"/>
    </row>
    <row r="79" spans="1:31" x14ac:dyDescent="0.25">
      <c r="B79" s="48">
        <f t="shared" ref="B79:B92" si="23">B78+1</f>
        <v>2022</v>
      </c>
      <c r="P79" s="22"/>
      <c r="Z79" s="22">
        <v>400000</v>
      </c>
      <c r="AA79" s="72">
        <f t="shared" si="17"/>
        <v>10000000</v>
      </c>
      <c r="AB79" s="22">
        <f t="shared" si="12"/>
        <v>6800000</v>
      </c>
      <c r="AC79" s="4">
        <f t="shared" si="13"/>
        <v>2027</v>
      </c>
      <c r="AD79" s="4"/>
    </row>
    <row r="80" spans="1:31" s="48" customFormat="1" x14ac:dyDescent="0.25">
      <c r="B80" s="48">
        <f t="shared" si="23"/>
        <v>2023</v>
      </c>
      <c r="P80" s="22"/>
      <c r="Z80" s="22">
        <v>400000</v>
      </c>
      <c r="AA80" s="72">
        <f t="shared" si="17"/>
        <v>10400000</v>
      </c>
      <c r="AB80" s="22">
        <f t="shared" si="12"/>
        <v>6800000</v>
      </c>
      <c r="AC80" s="4">
        <f t="shared" si="13"/>
        <v>2028</v>
      </c>
      <c r="AD80" s="4"/>
    </row>
    <row r="81" spans="1:30" x14ac:dyDescent="0.25">
      <c r="B81" s="48">
        <f t="shared" si="23"/>
        <v>2024</v>
      </c>
      <c r="P81" s="22"/>
      <c r="Z81" s="22">
        <v>400000</v>
      </c>
      <c r="AA81" s="72">
        <f t="shared" si="17"/>
        <v>10800000</v>
      </c>
      <c r="AB81" s="22">
        <f t="shared" si="12"/>
        <v>6800000</v>
      </c>
      <c r="AC81" s="4">
        <f t="shared" si="13"/>
        <v>2029</v>
      </c>
      <c r="AD81" s="4"/>
    </row>
    <row r="82" spans="1:30" x14ac:dyDescent="0.25">
      <c r="B82" s="48">
        <f t="shared" si="23"/>
        <v>2025</v>
      </c>
      <c r="P82" s="31"/>
      <c r="Z82" s="22">
        <v>400000</v>
      </c>
      <c r="AA82" s="72">
        <f t="shared" si="17"/>
        <v>11200000</v>
      </c>
      <c r="AB82" s="22">
        <f t="shared" si="12"/>
        <v>6800000</v>
      </c>
      <c r="AC82" s="4">
        <f t="shared" si="13"/>
        <v>2030</v>
      </c>
      <c r="AD82" s="4"/>
    </row>
    <row r="83" spans="1:30" x14ac:dyDescent="0.25">
      <c r="B83" s="48">
        <f t="shared" si="23"/>
        <v>2026</v>
      </c>
      <c r="P83" s="22"/>
      <c r="Z83" s="22">
        <v>400000</v>
      </c>
      <c r="AA83" s="72">
        <f t="shared" si="17"/>
        <v>11600000</v>
      </c>
      <c r="AB83" s="22">
        <f t="shared" si="12"/>
        <v>6800000</v>
      </c>
      <c r="AC83" s="4">
        <f t="shared" si="13"/>
        <v>2031</v>
      </c>
      <c r="AD83" s="4"/>
    </row>
    <row r="84" spans="1:30" x14ac:dyDescent="0.25">
      <c r="B84" s="48">
        <f t="shared" si="23"/>
        <v>2027</v>
      </c>
      <c r="P84" s="22"/>
      <c r="Z84" s="22">
        <v>400000</v>
      </c>
      <c r="AA84" s="72">
        <f>Z84+AA83</f>
        <v>12000000</v>
      </c>
      <c r="AB84" s="22">
        <f t="shared" si="12"/>
        <v>6800000</v>
      </c>
      <c r="AC84" s="4">
        <f t="shared" si="13"/>
        <v>2032</v>
      </c>
      <c r="AD84" s="4"/>
    </row>
    <row r="85" spans="1:30" s="48" customFormat="1" x14ac:dyDescent="0.25">
      <c r="B85" s="48">
        <f t="shared" si="23"/>
        <v>2028</v>
      </c>
      <c r="P85" s="22"/>
      <c r="Z85" s="22">
        <f>SUM(Z55:Z84)</f>
        <v>12000000</v>
      </c>
      <c r="AA85" s="246"/>
      <c r="AD85" s="4"/>
    </row>
    <row r="86" spans="1:30" x14ac:dyDescent="0.25">
      <c r="B86" s="48">
        <f t="shared" si="23"/>
        <v>2029</v>
      </c>
      <c r="P86" s="27"/>
      <c r="AD86" s="4"/>
    </row>
    <row r="87" spans="1:30" x14ac:dyDescent="0.25">
      <c r="B87" s="48">
        <f t="shared" si="23"/>
        <v>2030</v>
      </c>
      <c r="P87" s="31"/>
    </row>
    <row r="88" spans="1:30" s="48" customFormat="1" x14ac:dyDescent="0.25">
      <c r="B88" s="48">
        <f t="shared" si="23"/>
        <v>2031</v>
      </c>
      <c r="P88" s="27"/>
    </row>
    <row r="89" spans="1:30" x14ac:dyDescent="0.25">
      <c r="B89" s="48">
        <f t="shared" si="23"/>
        <v>2032</v>
      </c>
      <c r="P89" s="27"/>
    </row>
    <row r="90" spans="1:30" s="48" customFormat="1" x14ac:dyDescent="0.25">
      <c r="B90" s="48">
        <f t="shared" si="23"/>
        <v>2033</v>
      </c>
      <c r="P90" s="27"/>
    </row>
    <row r="91" spans="1:30" s="48" customFormat="1" x14ac:dyDescent="0.25">
      <c r="B91" s="48">
        <f t="shared" si="23"/>
        <v>2034</v>
      </c>
      <c r="K91"/>
      <c r="P91" s="27"/>
    </row>
    <row r="92" spans="1:30" s="48" customFormat="1" x14ac:dyDescent="0.25">
      <c r="B92" s="48">
        <f t="shared" si="23"/>
        <v>2035</v>
      </c>
      <c r="P92" s="31"/>
    </row>
    <row r="93" spans="1:30" s="48" customFormat="1" x14ac:dyDescent="0.25"/>
    <row r="94" spans="1:30" s="48" customFormat="1" x14ac:dyDescent="0.25">
      <c r="A94" s="79" t="s">
        <v>461</v>
      </c>
    </row>
    <row r="95" spans="1:30" s="48" customFormat="1" x14ac:dyDescent="0.25">
      <c r="A95" s="173" t="s">
        <v>468</v>
      </c>
    </row>
    <row r="96" spans="1:30" s="48" customFormat="1" x14ac:dyDescent="0.25">
      <c r="A96" s="173" t="s">
        <v>462</v>
      </c>
    </row>
    <row r="97" spans="1:13" s="48" customFormat="1" x14ac:dyDescent="0.25">
      <c r="A97" s="14"/>
    </row>
    <row r="98" spans="1:13" s="48" customFormat="1" x14ac:dyDescent="0.25">
      <c r="A98" s="91" t="s">
        <v>225</v>
      </c>
      <c r="B98" s="91" t="s">
        <v>226</v>
      </c>
      <c r="C98" s="48" t="s">
        <v>30</v>
      </c>
      <c r="E98" s="14" t="s">
        <v>230</v>
      </c>
      <c r="G98" s="2">
        <f>D64</f>
        <v>25</v>
      </c>
    </row>
    <row r="99" spans="1:13" s="48" customFormat="1" x14ac:dyDescent="0.25">
      <c r="A99" s="113" t="s">
        <v>250</v>
      </c>
      <c r="B99" s="22">
        <v>20849</v>
      </c>
      <c r="C99">
        <v>2</v>
      </c>
      <c r="E99" t="s">
        <v>458</v>
      </c>
      <c r="F99"/>
      <c r="G99" s="4">
        <f>SUM(C99:C106)</f>
        <v>9</v>
      </c>
    </row>
    <row r="100" spans="1:13" s="48" customFormat="1" x14ac:dyDescent="0.25">
      <c r="A100" s="113" t="s">
        <v>227</v>
      </c>
      <c r="B100" s="22">
        <v>11861</v>
      </c>
      <c r="C100">
        <v>1</v>
      </c>
      <c r="E100" t="s">
        <v>231</v>
      </c>
      <c r="F100"/>
      <c r="G100" s="27">
        <f>SUM(B99:B106)</f>
        <v>142157</v>
      </c>
    </row>
    <row r="101" spans="1:13" x14ac:dyDescent="0.25">
      <c r="A101" s="113" t="s">
        <v>227</v>
      </c>
      <c r="B101" s="22">
        <v>23552</v>
      </c>
      <c r="C101">
        <v>1</v>
      </c>
      <c r="D101" s="48"/>
      <c r="E101" s="48" t="s">
        <v>232</v>
      </c>
      <c r="F101" s="48"/>
      <c r="G101" s="22">
        <f>AVERAGE(B99:B106)</f>
        <v>17769.625</v>
      </c>
    </row>
    <row r="102" spans="1:13" x14ac:dyDescent="0.25">
      <c r="A102" s="113" t="s">
        <v>228</v>
      </c>
      <c r="B102" s="22">
        <v>14594</v>
      </c>
      <c r="C102">
        <v>1</v>
      </c>
      <c r="D102" s="48"/>
      <c r="E102" t="s">
        <v>460</v>
      </c>
      <c r="G102" s="22">
        <f>G100/G99*G98</f>
        <v>394880.55555555556</v>
      </c>
    </row>
    <row r="103" spans="1:13" x14ac:dyDescent="0.25">
      <c r="A103" s="113" t="s">
        <v>228</v>
      </c>
      <c r="B103" s="22">
        <v>12773</v>
      </c>
      <c r="C103">
        <v>1</v>
      </c>
      <c r="D103" s="48"/>
      <c r="E103" t="s">
        <v>233</v>
      </c>
      <c r="G103">
        <f>HoleSize!$C$64</f>
        <v>3.13</v>
      </c>
    </row>
    <row r="104" spans="1:13" s="48" customFormat="1" x14ac:dyDescent="0.25">
      <c r="A104" s="113" t="s">
        <v>229</v>
      </c>
      <c r="B104" s="22">
        <v>24341</v>
      </c>
      <c r="C104">
        <v>1</v>
      </c>
      <c r="E104" t="s">
        <v>234</v>
      </c>
      <c r="F104"/>
      <c r="G104" s="22">
        <f>G102*G103</f>
        <v>1235976.1388888888</v>
      </c>
    </row>
    <row r="105" spans="1:13" s="48" customFormat="1" x14ac:dyDescent="0.25">
      <c r="A105" s="114" t="s">
        <v>229</v>
      </c>
      <c r="B105" s="27">
        <v>11000</v>
      </c>
      <c r="C105" s="4">
        <v>1</v>
      </c>
      <c r="D105"/>
      <c r="E105" s="48" t="s">
        <v>459</v>
      </c>
      <c r="G105" s="22">
        <f>G104*D28</f>
        <v>1112378.5249999999</v>
      </c>
    </row>
    <row r="106" spans="1:13" x14ac:dyDescent="0.25">
      <c r="A106" s="114" t="s">
        <v>229</v>
      </c>
      <c r="B106" s="27">
        <v>23187</v>
      </c>
      <c r="C106" s="4">
        <v>1</v>
      </c>
      <c r="D106" s="23"/>
      <c r="E106" t="s">
        <v>235</v>
      </c>
      <c r="G106" s="22">
        <f>G64</f>
        <v>933042.39130434778</v>
      </c>
    </row>
    <row r="107" spans="1:13" x14ac:dyDescent="0.25">
      <c r="A107" s="48"/>
      <c r="B107" s="48"/>
      <c r="C107" s="48"/>
      <c r="D107" s="48"/>
      <c r="E107" s="48"/>
      <c r="F107" s="48"/>
      <c r="G107" s="22"/>
      <c r="H107" s="22"/>
      <c r="I107" s="22"/>
      <c r="J107" s="22"/>
      <c r="K107" s="22"/>
      <c r="L107" s="48"/>
      <c r="M107" s="48"/>
    </row>
    <row r="108" spans="1:13" x14ac:dyDescent="0.25">
      <c r="A108" s="79" t="s">
        <v>246</v>
      </c>
      <c r="B108" s="48"/>
      <c r="C108" s="48"/>
      <c r="D108" s="48"/>
      <c r="E108" s="48"/>
      <c r="F108" s="48"/>
      <c r="G108" s="22"/>
      <c r="H108" s="22"/>
      <c r="I108" s="22"/>
      <c r="J108" s="22"/>
      <c r="K108" s="22"/>
      <c r="L108" s="48"/>
      <c r="M108" s="48"/>
    </row>
    <row r="109" spans="1:13" x14ac:dyDescent="0.25">
      <c r="A109" s="48"/>
      <c r="B109" s="48"/>
      <c r="C109" s="22"/>
      <c r="D109" s="22"/>
      <c r="E109" s="22"/>
      <c r="F109" s="22"/>
      <c r="G109" s="22"/>
      <c r="H109" s="22"/>
      <c r="I109" s="22"/>
      <c r="J109" s="22"/>
      <c r="K109" s="22"/>
      <c r="L109" s="48"/>
      <c r="M109" s="48"/>
    </row>
    <row r="110" spans="1:13" x14ac:dyDescent="0.25">
      <c r="A110" s="5" t="s">
        <v>2</v>
      </c>
      <c r="B110" s="77">
        <v>19</v>
      </c>
      <c r="C110" s="48"/>
      <c r="D110" s="48"/>
      <c r="E110" s="32"/>
      <c r="F110" s="48"/>
      <c r="G110" s="22"/>
      <c r="H110" s="22"/>
      <c r="I110" s="22"/>
      <c r="J110" s="22"/>
      <c r="K110" s="22"/>
    </row>
    <row r="111" spans="1:13" x14ac:dyDescent="0.25">
      <c r="A111" s="48" t="s">
        <v>41</v>
      </c>
      <c r="B111" s="67">
        <f>48*B110</f>
        <v>912</v>
      </c>
      <c r="C111" s="48"/>
      <c r="D111" s="48"/>
      <c r="E111" s="32"/>
      <c r="F111" s="48"/>
      <c r="G111" s="22"/>
      <c r="H111" s="22"/>
      <c r="I111" s="22"/>
      <c r="J111" s="22"/>
      <c r="K111" s="22"/>
    </row>
    <row r="112" spans="1:13" x14ac:dyDescent="0.25">
      <c r="A112" s="48" t="s">
        <v>42</v>
      </c>
      <c r="B112" s="67">
        <f>B111*5</f>
        <v>4560</v>
      </c>
      <c r="C112" s="22"/>
      <c r="D112" s="48"/>
      <c r="E112" s="48"/>
      <c r="F112" s="32"/>
      <c r="G112" s="22"/>
      <c r="H112" s="22"/>
      <c r="I112" s="22"/>
      <c r="J112" s="22"/>
      <c r="K112" s="22"/>
    </row>
    <row r="113" spans="1:13" x14ac:dyDescent="0.25">
      <c r="A113" s="48"/>
      <c r="B113" s="48"/>
      <c r="C113" s="57" t="s">
        <v>21</v>
      </c>
      <c r="D113" s="57" t="s">
        <v>118</v>
      </c>
      <c r="E113" s="48"/>
      <c r="F113" s="48"/>
      <c r="G113" s="22"/>
      <c r="H113" s="22"/>
      <c r="I113" s="22"/>
      <c r="J113" s="22"/>
      <c r="K113" s="22"/>
    </row>
    <row r="114" spans="1:13" x14ac:dyDescent="0.25">
      <c r="A114" s="48" t="s">
        <v>119</v>
      </c>
      <c r="B114" s="48"/>
      <c r="C114" s="22">
        <f>Estimates!$G$72</f>
        <v>12651313.035839299</v>
      </c>
      <c r="D114" s="22">
        <f>C114*HoleSize!D65</f>
        <v>6474562.4723514775</v>
      </c>
      <c r="E114" s="48"/>
      <c r="F114" s="48"/>
      <c r="G114" s="22"/>
      <c r="H114" s="22"/>
      <c r="I114" s="22"/>
      <c r="J114" s="22"/>
      <c r="K114" s="22"/>
    </row>
    <row r="115" spans="1:13" x14ac:dyDescent="0.25">
      <c r="A115" s="48" t="s">
        <v>1</v>
      </c>
      <c r="B115" s="48"/>
      <c r="C115" s="22">
        <f>C114/B110</f>
        <v>665858.58083364728</v>
      </c>
      <c r="D115" s="22">
        <f>D114/B110</f>
        <v>340766.44591323566</v>
      </c>
      <c r="E115" s="48"/>
      <c r="F115" s="22"/>
      <c r="G115" s="22"/>
      <c r="H115" s="22"/>
      <c r="I115" s="22"/>
      <c r="J115" s="22"/>
      <c r="K115" s="22"/>
    </row>
    <row r="116" spans="1:13" x14ac:dyDescent="0.25">
      <c r="A116" s="48" t="s">
        <v>114</v>
      </c>
      <c r="B116" s="48"/>
      <c r="C116" s="22">
        <f>C114/B111</f>
        <v>13872.053767367652</v>
      </c>
      <c r="D116" s="22">
        <f>D114/B111</f>
        <v>7099.3009565257425</v>
      </c>
      <c r="E116" s="48"/>
      <c r="F116" s="22"/>
      <c r="H116" s="22"/>
      <c r="I116" s="22"/>
      <c r="J116" s="22"/>
      <c r="K116" s="22"/>
    </row>
    <row r="117" spans="1:13" x14ac:dyDescent="0.25">
      <c r="A117" s="48" t="s">
        <v>115</v>
      </c>
      <c r="B117" s="48"/>
      <c r="C117" s="22">
        <f>C114/B112</f>
        <v>2774.4107534735303</v>
      </c>
      <c r="D117" s="22">
        <f>D114/B112</f>
        <v>1419.8601913051486</v>
      </c>
      <c r="E117" s="48"/>
      <c r="F117" s="22"/>
      <c r="G117" s="22"/>
      <c r="H117" s="22"/>
      <c r="I117" s="22"/>
      <c r="J117" s="22"/>
      <c r="K117" s="22"/>
    </row>
    <row r="118" spans="1:13" x14ac:dyDescent="0.25">
      <c r="A118" s="48" t="s">
        <v>121</v>
      </c>
      <c r="B118" s="48"/>
      <c r="C118" s="22"/>
      <c r="D118" s="48"/>
      <c r="E118" s="22">
        <f>C117/HoleSize!B66*2</f>
        <v>554.88215069470607</v>
      </c>
      <c r="F118" s="28" t="s">
        <v>117</v>
      </c>
      <c r="G118" s="22"/>
      <c r="H118" s="22"/>
      <c r="I118" s="22"/>
      <c r="J118" s="22"/>
      <c r="K118" s="22"/>
    </row>
    <row r="119" spans="1:13" x14ac:dyDescent="0.25">
      <c r="A119" s="48" t="s">
        <v>122</v>
      </c>
      <c r="B119" s="48"/>
      <c r="C119" s="48"/>
      <c r="D119" s="48"/>
      <c r="E119" s="22">
        <f>C114/HoleSize!B66*2</f>
        <v>2530262.6071678596</v>
      </c>
      <c r="F119" s="28" t="s">
        <v>117</v>
      </c>
      <c r="G119" s="22"/>
      <c r="H119" s="31" t="s">
        <v>120</v>
      </c>
      <c r="I119" s="31"/>
      <c r="J119" s="31"/>
      <c r="K119" s="22"/>
      <c r="L119" s="48"/>
      <c r="M119" s="48"/>
    </row>
  </sheetData>
  <phoneticPr fontId="21" type="noConversion"/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1B3DC-7326-4C1F-86B0-800450DC4AFE}">
  <sheetPr>
    <tabColor rgb="FFC00000"/>
  </sheetPr>
  <dimension ref="A1:I27"/>
  <sheetViews>
    <sheetView workbookViewId="0"/>
  </sheetViews>
  <sheetFormatPr defaultRowHeight="15" x14ac:dyDescent="0.25"/>
  <cols>
    <col min="1" max="1" width="13.85546875" customWidth="1"/>
    <col min="2" max="2" width="16.5703125" customWidth="1"/>
    <col min="3" max="3" width="11.5703125" customWidth="1"/>
    <col min="4" max="4" width="13.7109375" customWidth="1"/>
    <col min="5" max="5" width="15.42578125" style="92" customWidth="1"/>
    <col min="6" max="6" width="11.7109375" style="136" customWidth="1"/>
    <col min="7" max="7" width="12.140625" style="136" customWidth="1"/>
    <col min="8" max="8" width="9.28515625" bestFit="1" customWidth="1"/>
    <col min="9" max="9" width="12.7109375" bestFit="1" customWidth="1"/>
  </cols>
  <sheetData>
    <row r="1" spans="1:9" x14ac:dyDescent="0.25">
      <c r="A1" s="79" t="s">
        <v>560</v>
      </c>
      <c r="D1" s="83" t="s">
        <v>504</v>
      </c>
      <c r="E1" s="253" t="s">
        <v>554</v>
      </c>
      <c r="F1" s="254" t="s">
        <v>538</v>
      </c>
      <c r="G1" s="254" t="s">
        <v>539</v>
      </c>
      <c r="H1" s="153"/>
      <c r="I1" s="153"/>
    </row>
    <row r="2" spans="1:9" x14ac:dyDescent="0.25">
      <c r="A2" t="s">
        <v>551</v>
      </c>
      <c r="H2" s="86"/>
      <c r="I2" s="86"/>
    </row>
    <row r="4" spans="1:9" x14ac:dyDescent="0.25">
      <c r="A4" t="s">
        <v>561</v>
      </c>
      <c r="D4" s="22">
        <f>Estimates!$E$75</f>
        <v>12204194.478260867</v>
      </c>
    </row>
    <row r="5" spans="1:9" x14ac:dyDescent="0.25">
      <c r="A5" t="s">
        <v>545</v>
      </c>
      <c r="D5" s="22">
        <f>Estimates!$L$75</f>
        <v>37321.695652173912</v>
      </c>
    </row>
    <row r="6" spans="1:9" x14ac:dyDescent="0.25">
      <c r="A6" t="s">
        <v>540</v>
      </c>
      <c r="E6" s="92">
        <f>F6*1000000</f>
        <v>-362233320.01151204</v>
      </c>
      <c r="F6" s="136">
        <f>Rehab!$I$43</f>
        <v>-362.23332001151203</v>
      </c>
    </row>
    <row r="7" spans="1:9" x14ac:dyDescent="0.25">
      <c r="A7" t="s">
        <v>541</v>
      </c>
      <c r="E7" s="92">
        <f>F7*1000000</f>
        <v>-2449567853.1371412</v>
      </c>
      <c r="F7" s="136">
        <f>-G7*1000</f>
        <v>-2449.5678531371414</v>
      </c>
      <c r="G7" s="136">
        <f>'Eden Cornwall'!$H$43</f>
        <v>2.4495678531371414</v>
      </c>
    </row>
    <row r="9" spans="1:9" x14ac:dyDescent="0.25">
      <c r="A9" t="s">
        <v>542</v>
      </c>
      <c r="E9" s="92">
        <f>E6+E7</f>
        <v>-2811801173.148653</v>
      </c>
      <c r="F9" s="92">
        <f>F6+F7</f>
        <v>-2811.8011731486536</v>
      </c>
    </row>
    <row r="10" spans="1:9" x14ac:dyDescent="0.25">
      <c r="A10" t="s">
        <v>543</v>
      </c>
      <c r="E10" s="92">
        <f>E9/D4</f>
        <v>-230.39629351673054</v>
      </c>
    </row>
    <row r="11" spans="1:9" s="77" customFormat="1" x14ac:dyDescent="0.25">
      <c r="A11" s="77" t="s">
        <v>544</v>
      </c>
      <c r="E11" s="94">
        <f>E10*D5</f>
        <v>-8598780.3460203465</v>
      </c>
      <c r="F11" s="251">
        <f>E11/1000000</f>
        <v>-8.5987803460203462</v>
      </c>
      <c r="G11" s="94"/>
    </row>
    <row r="14" spans="1:9" x14ac:dyDescent="0.25">
      <c r="A14" s="79" t="s">
        <v>547</v>
      </c>
    </row>
    <row r="15" spans="1:9" s="48" customFormat="1" x14ac:dyDescent="0.25">
      <c r="A15" s="35" t="s">
        <v>556</v>
      </c>
      <c r="C15" s="48">
        <v>2032</v>
      </c>
      <c r="E15" s="92"/>
      <c r="F15" s="136"/>
      <c r="G15" s="136"/>
    </row>
    <row r="16" spans="1:9" s="48" customFormat="1" x14ac:dyDescent="0.25">
      <c r="A16" s="48" t="s">
        <v>549</v>
      </c>
      <c r="D16" s="22">
        <f>Estimates!$AA$84</f>
        <v>12000000</v>
      </c>
      <c r="E16" s="92"/>
      <c r="F16" s="136"/>
      <c r="G16" s="136"/>
    </row>
    <row r="17" spans="1:6" x14ac:dyDescent="0.25">
      <c r="A17" t="s">
        <v>553</v>
      </c>
      <c r="D17" s="22">
        <f>Estimates!$Y$71</f>
        <v>10972578.521739129</v>
      </c>
    </row>
    <row r="18" spans="1:6" x14ac:dyDescent="0.25">
      <c r="A18" t="s">
        <v>548</v>
      </c>
      <c r="D18" s="22">
        <f>D16-D17</f>
        <v>1027421.478260871</v>
      </c>
    </row>
    <row r="19" spans="1:6" x14ac:dyDescent="0.25">
      <c r="A19" t="s">
        <v>552</v>
      </c>
      <c r="E19" s="131">
        <f>D18*E10</f>
        <v>-236714100.47078481</v>
      </c>
      <c r="F19" s="251">
        <f>E19/1000000</f>
        <v>-236.71410047078481</v>
      </c>
    </row>
    <row r="20" spans="1:6" x14ac:dyDescent="0.25">
      <c r="A20" t="s">
        <v>555</v>
      </c>
      <c r="C20" s="3">
        <f>D18/D5</f>
        <v>27.528799544267915</v>
      </c>
      <c r="D20" s="92"/>
    </row>
    <row r="23" spans="1:6" x14ac:dyDescent="0.25">
      <c r="A23" s="79" t="s">
        <v>557</v>
      </c>
      <c r="E23" s="136">
        <v>-25</v>
      </c>
    </row>
    <row r="24" spans="1:6" x14ac:dyDescent="0.25">
      <c r="A24" s="48" t="s">
        <v>559</v>
      </c>
      <c r="D24" s="22">
        <f>D18</f>
        <v>1027421.478260871</v>
      </c>
    </row>
    <row r="25" spans="1:6" x14ac:dyDescent="0.25">
      <c r="A25" t="s">
        <v>558</v>
      </c>
      <c r="E25" s="131">
        <f>E23*D24</f>
        <v>-25685536.956521776</v>
      </c>
      <c r="F25" s="255">
        <f>E25/1000000</f>
        <v>-25.685536956521776</v>
      </c>
    </row>
    <row r="27" spans="1:6" x14ac:dyDescent="0.25">
      <c r="A27" t="s">
        <v>562</v>
      </c>
      <c r="F27" s="256">
        <f>-(F19-F25)</f>
        <v>211.02856351426303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2FDA3-0A4B-41C2-8507-B5BE27A7F23C}">
  <sheetPr>
    <tabColor rgb="FF7030A0"/>
  </sheetPr>
  <dimension ref="A1:S60"/>
  <sheetViews>
    <sheetView workbookViewId="0"/>
  </sheetViews>
  <sheetFormatPr defaultRowHeight="15" x14ac:dyDescent="0.25"/>
  <cols>
    <col min="2" max="2" width="12" customWidth="1"/>
  </cols>
  <sheetData>
    <row r="1" spans="1:9" x14ac:dyDescent="0.25">
      <c r="A1" s="139" t="s">
        <v>4</v>
      </c>
      <c r="D1" s="17" t="s">
        <v>43</v>
      </c>
    </row>
    <row r="2" spans="1:9" s="48" customFormat="1" x14ac:dyDescent="0.25">
      <c r="A2" s="177" t="s">
        <v>474</v>
      </c>
      <c r="D2" s="17"/>
    </row>
    <row r="3" spans="1:9" s="48" customFormat="1" x14ac:dyDescent="0.25">
      <c r="A3" s="177" t="s">
        <v>473</v>
      </c>
      <c r="D3" s="17"/>
    </row>
    <row r="4" spans="1:9" s="48" customFormat="1" x14ac:dyDescent="0.25">
      <c r="A4" s="177"/>
      <c r="D4" s="17"/>
    </row>
    <row r="5" spans="1:9" ht="15.75" x14ac:dyDescent="0.25">
      <c r="A5" s="16" t="s">
        <v>475</v>
      </c>
    </row>
    <row r="6" spans="1:9" s="48" customFormat="1" ht="15.75" x14ac:dyDescent="0.25">
      <c r="A6" s="16" t="s">
        <v>476</v>
      </c>
      <c r="F6" s="178">
        <f>CPI!$J$18</f>
        <v>1.8557999999999999</v>
      </c>
    </row>
    <row r="7" spans="1:9" x14ac:dyDescent="0.25">
      <c r="A7" t="s">
        <v>35</v>
      </c>
      <c r="E7" s="18" t="s">
        <v>19</v>
      </c>
      <c r="F7" s="19" t="s">
        <v>18</v>
      </c>
      <c r="G7" s="19" t="s">
        <v>17</v>
      </c>
      <c r="H7" s="19"/>
      <c r="I7" t="s">
        <v>338</v>
      </c>
    </row>
    <row r="8" spans="1:9" x14ac:dyDescent="0.25">
      <c r="A8" t="s">
        <v>3</v>
      </c>
      <c r="E8">
        <v>1000</v>
      </c>
      <c r="F8" s="92">
        <f>E8*F6</f>
        <v>1855.8</v>
      </c>
      <c r="G8">
        <v>12</v>
      </c>
    </row>
    <row r="9" spans="1:9" x14ac:dyDescent="0.25">
      <c r="A9" t="s">
        <v>2</v>
      </c>
      <c r="D9">
        <v>18</v>
      </c>
    </row>
    <row r="10" spans="1:9" x14ac:dyDescent="0.25">
      <c r="A10" t="s">
        <v>1</v>
      </c>
      <c r="E10" s="2">
        <f>E8/$D$9</f>
        <v>55.555555555555557</v>
      </c>
      <c r="F10" s="126">
        <f>F8/$D$9</f>
        <v>103.1</v>
      </c>
    </row>
    <row r="11" spans="1:9" x14ac:dyDescent="0.25">
      <c r="A11" t="s">
        <v>305</v>
      </c>
      <c r="D11" s="24">
        <v>2</v>
      </c>
    </row>
    <row r="12" spans="1:9" x14ac:dyDescent="0.25">
      <c r="A12" s="17" t="s">
        <v>0</v>
      </c>
    </row>
    <row r="13" spans="1:9" x14ac:dyDescent="0.25">
      <c r="A13" s="7" t="s">
        <v>24</v>
      </c>
    </row>
    <row r="14" spans="1:9" x14ac:dyDescent="0.25">
      <c r="A14" t="s">
        <v>25</v>
      </c>
      <c r="E14" s="133">
        <v>100</v>
      </c>
      <c r="F14" s="92">
        <f>E14*F6</f>
        <v>185.57999999999998</v>
      </c>
      <c r="G14" t="s">
        <v>307</v>
      </c>
    </row>
    <row r="16" spans="1:9" x14ac:dyDescent="0.25">
      <c r="A16" s="128" t="s">
        <v>311</v>
      </c>
      <c r="C16" s="135">
        <f>CPI!$G$14</f>
        <v>2.1583333333333329E-2</v>
      </c>
      <c r="I16" s="79"/>
    </row>
    <row r="17" spans="1:19" s="48" customFormat="1" x14ac:dyDescent="0.25">
      <c r="A17" t="s">
        <v>317</v>
      </c>
      <c r="B17"/>
      <c r="C17" s="24">
        <v>7.4999999999999997E-3</v>
      </c>
      <c r="D17" s="17"/>
      <c r="I17" s="17"/>
      <c r="L17" s="17"/>
    </row>
    <row r="18" spans="1:19" s="48" customFormat="1" x14ac:dyDescent="0.25">
      <c r="C18" s="24"/>
      <c r="D18" s="17"/>
      <c r="I18" s="17"/>
      <c r="L18" s="17"/>
    </row>
    <row r="19" spans="1:19" x14ac:dyDescent="0.25">
      <c r="A19" s="177" t="s">
        <v>479</v>
      </c>
    </row>
    <row r="20" spans="1:19" s="48" customFormat="1" x14ac:dyDescent="0.25">
      <c r="A20" s="177" t="s">
        <v>477</v>
      </c>
    </row>
    <row r="21" spans="1:19" s="48" customFormat="1" x14ac:dyDescent="0.25">
      <c r="A21" s="177" t="s">
        <v>478</v>
      </c>
    </row>
    <row r="22" spans="1:19" x14ac:dyDescent="0.25">
      <c r="B22" s="40" t="s">
        <v>341</v>
      </c>
      <c r="F22" s="40" t="s">
        <v>342</v>
      </c>
      <c r="K22" t="s">
        <v>472</v>
      </c>
      <c r="Q22" s="79" t="s">
        <v>44</v>
      </c>
    </row>
    <row r="23" spans="1:19" s="40" customFormat="1" x14ac:dyDescent="0.25">
      <c r="A23" s="83" t="s">
        <v>98</v>
      </c>
      <c r="B23" s="83" t="s">
        <v>306</v>
      </c>
      <c r="C23" s="57" t="s">
        <v>312</v>
      </c>
      <c r="D23" s="57"/>
      <c r="E23" s="57"/>
      <c r="F23" s="138" t="s">
        <v>320</v>
      </c>
      <c r="G23" s="57" t="s">
        <v>318</v>
      </c>
      <c r="H23" s="57"/>
      <c r="I23" s="83"/>
      <c r="J23" s="83"/>
      <c r="K23" s="57" t="s">
        <v>343</v>
      </c>
      <c r="L23" s="57"/>
      <c r="M23" s="57" t="s">
        <v>344</v>
      </c>
      <c r="N23" s="57"/>
      <c r="O23" s="57"/>
      <c r="P23" s="57"/>
      <c r="Q23" s="17" t="s">
        <v>45</v>
      </c>
      <c r="R23" s="48"/>
      <c r="S23" s="48"/>
    </row>
    <row r="24" spans="1:19" x14ac:dyDescent="0.25">
      <c r="A24">
        <v>2001</v>
      </c>
      <c r="B24" s="22">
        <v>78</v>
      </c>
      <c r="C24" s="22">
        <f>B24</f>
        <v>78</v>
      </c>
      <c r="D24" s="92"/>
      <c r="E24" s="92"/>
      <c r="F24" s="22">
        <f>C24+C24*$C$17</f>
        <v>78.584999999999994</v>
      </c>
      <c r="G24">
        <v>89</v>
      </c>
      <c r="K24" s="136">
        <f>Rehab!Q25</f>
        <v>0</v>
      </c>
      <c r="M24" s="136">
        <f>G24-K24</f>
        <v>89</v>
      </c>
      <c r="O24" s="22"/>
      <c r="Q24" t="s">
        <v>308</v>
      </c>
    </row>
    <row r="25" spans="1:19" x14ac:dyDescent="0.25">
      <c r="A25" s="48">
        <f>A24+1</f>
        <v>2002</v>
      </c>
      <c r="B25" s="22">
        <f t="shared" ref="B25:B41" si="0">B24+B24*$S$26</f>
        <v>80.582691428571422</v>
      </c>
      <c r="C25" s="22">
        <f t="shared" ref="C25:C41" si="1">C24+B25</f>
        <v>158.58269142857142</v>
      </c>
      <c r="D25" t="s">
        <v>314</v>
      </c>
      <c r="E25" s="92"/>
      <c r="F25" s="22">
        <f t="shared" ref="F25:F53" si="2">B25+C25*$C$17</f>
        <v>81.772061614285704</v>
      </c>
      <c r="G25" s="22">
        <f t="shared" ref="G25:G58" si="3">G24+F25</f>
        <v>170.77206161428569</v>
      </c>
      <c r="I25" s="48"/>
      <c r="J25" s="22"/>
      <c r="K25" s="136">
        <f>Rehab!J26</f>
        <v>-6.873004639565238</v>
      </c>
      <c r="M25" s="136">
        <f t="shared" ref="M25:M58" si="4">G25-K25</f>
        <v>177.64506625385093</v>
      </c>
      <c r="O25" s="22"/>
      <c r="Q25" s="137" t="s">
        <v>319</v>
      </c>
    </row>
    <row r="26" spans="1:19" x14ac:dyDescent="0.25">
      <c r="A26" s="48">
        <f t="shared" ref="A26:A58" si="5">A25+1</f>
        <v>2003</v>
      </c>
      <c r="B26" s="22">
        <f t="shared" si="0"/>
        <v>83.25089945990203</v>
      </c>
      <c r="C26" s="22">
        <f t="shared" si="1"/>
        <v>241.83359088847345</v>
      </c>
      <c r="D26" s="92" t="s">
        <v>313</v>
      </c>
      <c r="E26" s="92"/>
      <c r="F26" s="22">
        <f t="shared" si="2"/>
        <v>85.064651391565576</v>
      </c>
      <c r="G26" s="22">
        <f t="shared" si="3"/>
        <v>255.83671300585127</v>
      </c>
      <c r="I26" s="48"/>
      <c r="J26" s="22"/>
      <c r="K26" s="136">
        <f>Rehab!J27</f>
        <v>-7.8074228321738985</v>
      </c>
      <c r="M26" s="136">
        <f t="shared" si="4"/>
        <v>263.64413583802514</v>
      </c>
      <c r="O26" s="22"/>
      <c r="Q26" s="128" t="s">
        <v>310</v>
      </c>
      <c r="S26" s="135">
        <f>CPI!$G$5</f>
        <v>3.3111428571428576E-2</v>
      </c>
    </row>
    <row r="27" spans="1:19" x14ac:dyDescent="0.25">
      <c r="A27" s="48">
        <f t="shared" si="5"/>
        <v>2004</v>
      </c>
      <c r="B27" s="22">
        <f t="shared" si="0"/>
        <v>86.007455670875757</v>
      </c>
      <c r="C27" s="22">
        <f t="shared" si="1"/>
        <v>327.84104655934919</v>
      </c>
      <c r="D27" s="92" t="s">
        <v>321</v>
      </c>
      <c r="E27" s="92"/>
      <c r="F27" s="22">
        <f t="shared" si="2"/>
        <v>88.466263520070882</v>
      </c>
      <c r="G27" s="22">
        <f t="shared" si="3"/>
        <v>344.30297652592213</v>
      </c>
      <c r="I27" s="48"/>
      <c r="J27" s="22"/>
      <c r="K27" s="136">
        <f>Rehab!J28</f>
        <v>-6.8477319375652144</v>
      </c>
      <c r="M27" s="136">
        <f t="shared" si="4"/>
        <v>351.15070846348738</v>
      </c>
      <c r="O27" s="22"/>
    </row>
    <row r="28" spans="1:19" x14ac:dyDescent="0.25">
      <c r="A28" s="48">
        <f t="shared" si="5"/>
        <v>2005</v>
      </c>
      <c r="B28" s="22">
        <f t="shared" si="0"/>
        <v>88.85528539593227</v>
      </c>
      <c r="C28" s="22">
        <f t="shared" si="1"/>
        <v>416.69633195528149</v>
      </c>
      <c r="D28" s="92" t="s">
        <v>323</v>
      </c>
      <c r="E28" s="92"/>
      <c r="F28" s="22">
        <f t="shared" si="2"/>
        <v>91.980507885596879</v>
      </c>
      <c r="G28" s="22">
        <f t="shared" si="3"/>
        <v>436.283484411519</v>
      </c>
      <c r="I28" s="48"/>
      <c r="J28" s="22"/>
      <c r="K28" s="136">
        <f>Rehab!J29</f>
        <v>-6.287051529608874</v>
      </c>
      <c r="M28" s="136">
        <f t="shared" si="4"/>
        <v>442.5705359411279</v>
      </c>
      <c r="O28" s="22"/>
    </row>
    <row r="29" spans="1:19" x14ac:dyDescent="0.25">
      <c r="A29" s="48">
        <f t="shared" si="5"/>
        <v>2006</v>
      </c>
      <c r="B29" s="22">
        <f t="shared" si="0"/>
        <v>91.797410831513588</v>
      </c>
      <c r="C29" s="22">
        <f t="shared" si="1"/>
        <v>508.49374278679511</v>
      </c>
      <c r="D29" s="92" t="s">
        <v>322</v>
      </c>
      <c r="E29" s="92"/>
      <c r="F29" s="22">
        <f t="shared" si="2"/>
        <v>95.611113902414544</v>
      </c>
      <c r="G29" s="22">
        <f t="shared" si="3"/>
        <v>531.89459831393356</v>
      </c>
      <c r="I29" s="48"/>
      <c r="J29" s="22"/>
      <c r="K29" s="136">
        <f>Rehab!J30</f>
        <v>-7.7024189507567087</v>
      </c>
      <c r="M29" s="136">
        <f t="shared" si="4"/>
        <v>539.59701726469029</v>
      </c>
      <c r="O29" s="22"/>
    </row>
    <row r="30" spans="1:19" x14ac:dyDescent="0.25">
      <c r="A30" s="48">
        <f t="shared" si="5"/>
        <v>2007</v>
      </c>
      <c r="B30" s="22">
        <f t="shared" si="0"/>
        <v>94.836954243303339</v>
      </c>
      <c r="C30" s="22">
        <f t="shared" si="1"/>
        <v>603.33069703009846</v>
      </c>
      <c r="D30" s="92"/>
      <c r="E30" s="92"/>
      <c r="F30" s="22">
        <f t="shared" si="2"/>
        <v>99.361934471029073</v>
      </c>
      <c r="G30" s="22">
        <f t="shared" si="3"/>
        <v>631.25653278496259</v>
      </c>
      <c r="I30" s="48"/>
      <c r="J30" s="22"/>
      <c r="K30" s="136">
        <f>Rehab!J31</f>
        <v>-8.0749699359040505</v>
      </c>
      <c r="L30" s="136"/>
      <c r="M30" s="136">
        <f t="shared" si="4"/>
        <v>639.33150272086664</v>
      </c>
      <c r="O30" s="22"/>
    </row>
    <row r="31" spans="1:19" x14ac:dyDescent="0.25">
      <c r="A31" s="48">
        <f t="shared" si="5"/>
        <v>2008</v>
      </c>
      <c r="B31" s="22">
        <f t="shared" si="0"/>
        <v>97.97714127966232</v>
      </c>
      <c r="C31" s="22">
        <f t="shared" si="1"/>
        <v>701.30783830976077</v>
      </c>
      <c r="D31" s="92" t="s">
        <v>324</v>
      </c>
      <c r="E31" s="92"/>
      <c r="F31" s="22">
        <f t="shared" si="2"/>
        <v>103.23695006698553</v>
      </c>
      <c r="G31" s="22">
        <f t="shared" si="3"/>
        <v>734.4934828519481</v>
      </c>
      <c r="I31" s="48"/>
      <c r="J31" s="22"/>
      <c r="K31" s="136">
        <f>Rehab!J32</f>
        <v>-11.023862963606234</v>
      </c>
      <c r="L31" s="136"/>
      <c r="M31" s="136">
        <f t="shared" si="4"/>
        <v>745.51734581555434</v>
      </c>
      <c r="O31" s="22"/>
    </row>
    <row r="32" spans="1:19" x14ac:dyDescent="0.25">
      <c r="A32" s="48">
        <f t="shared" si="5"/>
        <v>2009</v>
      </c>
      <c r="B32" s="22">
        <f t="shared" si="0"/>
        <v>101.22130439477662</v>
      </c>
      <c r="C32" s="22">
        <f t="shared" si="1"/>
        <v>802.52914270453743</v>
      </c>
      <c r="D32" s="92"/>
      <c r="E32" s="92"/>
      <c r="F32" s="22">
        <f t="shared" si="2"/>
        <v>107.24027296506065</v>
      </c>
      <c r="G32" s="22">
        <f t="shared" si="3"/>
        <v>841.73375581700873</v>
      </c>
      <c r="I32" s="48"/>
      <c r="J32" s="22"/>
      <c r="K32" s="136">
        <f>Rehab!J33</f>
        <v>-11.88499548800263</v>
      </c>
      <c r="L32" s="136"/>
      <c r="M32" s="136">
        <f t="shared" si="4"/>
        <v>853.6187513050113</v>
      </c>
      <c r="O32" s="22"/>
    </row>
    <row r="33" spans="1:16" x14ac:dyDescent="0.25">
      <c r="A33" s="48">
        <f t="shared" si="5"/>
        <v>2010</v>
      </c>
      <c r="B33" s="22">
        <f t="shared" si="0"/>
        <v>104.57288638515109</v>
      </c>
      <c r="C33" s="22">
        <f t="shared" si="1"/>
        <v>907.10202908968859</v>
      </c>
      <c r="D33" s="92"/>
      <c r="E33" s="92"/>
      <c r="F33" s="22">
        <f t="shared" si="2"/>
        <v>111.37615160332376</v>
      </c>
      <c r="G33" s="22">
        <f t="shared" si="3"/>
        <v>953.10990742033255</v>
      </c>
      <c r="I33" s="48"/>
      <c r="J33" s="22"/>
      <c r="K33" s="136">
        <f>Rehab!J34</f>
        <v>-7.444930926712118</v>
      </c>
      <c r="L33" s="136"/>
      <c r="M33" s="136">
        <f t="shared" si="4"/>
        <v>960.55483834704467</v>
      </c>
      <c r="O33" s="22"/>
    </row>
    <row r="34" spans="1:16" x14ac:dyDescent="0.25">
      <c r="A34" s="48">
        <f t="shared" si="5"/>
        <v>2011</v>
      </c>
      <c r="B34" s="22">
        <f t="shared" si="0"/>
        <v>108.03544404320114</v>
      </c>
      <c r="C34" s="22">
        <f t="shared" si="1"/>
        <v>1015.1374731328897</v>
      </c>
      <c r="D34" s="92"/>
      <c r="E34" s="92"/>
      <c r="F34" s="22">
        <f t="shared" si="2"/>
        <v>115.64897509169781</v>
      </c>
      <c r="G34" s="22">
        <f t="shared" si="3"/>
        <v>1068.7588825120304</v>
      </c>
      <c r="I34" s="48"/>
      <c r="J34" s="22"/>
      <c r="K34" s="136">
        <f>Rehab!J35</f>
        <v>-9.1212637479946466</v>
      </c>
      <c r="L34" s="136"/>
      <c r="M34" s="136">
        <f t="shared" si="4"/>
        <v>1077.880146260025</v>
      </c>
      <c r="O34" s="22"/>
    </row>
    <row r="35" spans="1:16" x14ac:dyDescent="0.25">
      <c r="A35" s="48">
        <f t="shared" si="5"/>
        <v>2012</v>
      </c>
      <c r="B35" s="22">
        <f t="shared" si="0"/>
        <v>111.61265193182017</v>
      </c>
      <c r="C35" s="22">
        <f t="shared" si="1"/>
        <v>1126.7501250647099</v>
      </c>
      <c r="D35" s="92"/>
      <c r="E35" s="92"/>
      <c r="F35" s="22">
        <f t="shared" si="2"/>
        <v>120.06327786980549</v>
      </c>
      <c r="G35" s="22">
        <f t="shared" si="3"/>
        <v>1188.8221603818358</v>
      </c>
      <c r="I35" s="48"/>
      <c r="J35" s="22"/>
      <c r="K35" s="136">
        <f>Rehab!J36</f>
        <v>-5.6275471636158159</v>
      </c>
      <c r="L35" s="136"/>
      <c r="M35" s="136">
        <f t="shared" si="4"/>
        <v>1194.4497075454517</v>
      </c>
      <c r="O35" s="22"/>
    </row>
    <row r="36" spans="1:16" x14ac:dyDescent="0.25">
      <c r="A36" s="48">
        <f t="shared" si="5"/>
        <v>2013</v>
      </c>
      <c r="B36" s="22">
        <f t="shared" si="0"/>
        <v>115.30830628392835</v>
      </c>
      <c r="C36" s="22">
        <f t="shared" si="1"/>
        <v>1242.0584313486384</v>
      </c>
      <c r="D36" s="92"/>
      <c r="E36" s="92"/>
      <c r="F36" s="22">
        <f t="shared" si="2"/>
        <v>124.62374451904313</v>
      </c>
      <c r="G36" s="22">
        <f t="shared" si="3"/>
        <v>1313.445904900879</v>
      </c>
      <c r="I36" s="48"/>
      <c r="J36" s="22"/>
      <c r="K36" s="136">
        <f>Rehab!J37</f>
        <v>-7.5673754274345697</v>
      </c>
      <c r="L36" s="136"/>
      <c r="M36" s="136">
        <f t="shared" si="4"/>
        <v>1321.0132803283136</v>
      </c>
      <c r="O36" s="22"/>
    </row>
    <row r="37" spans="1:16" x14ac:dyDescent="0.25">
      <c r="A37" s="48">
        <f t="shared" si="5"/>
        <v>2014</v>
      </c>
      <c r="B37" s="22">
        <f t="shared" si="0"/>
        <v>119.12632903114105</v>
      </c>
      <c r="C37" s="22">
        <f t="shared" si="1"/>
        <v>1361.1847603797794</v>
      </c>
      <c r="D37" s="92"/>
      <c r="E37" s="92"/>
      <c r="F37" s="22">
        <f t="shared" si="2"/>
        <v>129.3352147339894</v>
      </c>
      <c r="G37" s="22">
        <f t="shared" si="3"/>
        <v>1442.7811196348684</v>
      </c>
      <c r="I37" s="48"/>
      <c r="J37" s="22"/>
      <c r="K37" s="136">
        <f>Rehab!J38</f>
        <v>-7.8512882182638464</v>
      </c>
      <c r="L37" s="136"/>
      <c r="M37" s="136">
        <f t="shared" si="4"/>
        <v>1450.6324078531322</v>
      </c>
      <c r="O37" s="22"/>
    </row>
    <row r="38" spans="1:16" x14ac:dyDescent="0.25">
      <c r="A38" s="48">
        <f t="shared" si="5"/>
        <v>2015</v>
      </c>
      <c r="B38" s="22">
        <f t="shared" si="0"/>
        <v>123.07077196583218</v>
      </c>
      <c r="C38" s="22">
        <f t="shared" si="1"/>
        <v>1484.2555323456115</v>
      </c>
      <c r="D38" s="92"/>
      <c r="E38" s="92"/>
      <c r="F38" s="22">
        <f t="shared" si="2"/>
        <v>134.20268845842426</v>
      </c>
      <c r="G38" s="22">
        <f t="shared" si="3"/>
        <v>1576.9838080932927</v>
      </c>
      <c r="I38" s="48"/>
      <c r="J38" s="22"/>
      <c r="K38" s="136">
        <f>Rehab!J39</f>
        <v>-7.6353458787806403</v>
      </c>
      <c r="L38" s="136"/>
      <c r="M38" s="136">
        <f t="shared" si="4"/>
        <v>1584.6191539720735</v>
      </c>
      <c r="O38" s="22"/>
    </row>
    <row r="39" spans="1:16" x14ac:dyDescent="0.25">
      <c r="A39" s="48">
        <f t="shared" si="5"/>
        <v>2016</v>
      </c>
      <c r="B39" s="22">
        <f t="shared" si="0"/>
        <v>127.14582104100941</v>
      </c>
      <c r="C39" s="22">
        <f t="shared" si="1"/>
        <v>1611.4013533866209</v>
      </c>
      <c r="D39" s="92"/>
      <c r="E39" s="92"/>
      <c r="F39" s="22">
        <f t="shared" si="2"/>
        <v>139.23133119140908</v>
      </c>
      <c r="G39" s="22">
        <f t="shared" si="3"/>
        <v>1716.2151392847018</v>
      </c>
      <c r="I39" s="48"/>
      <c r="J39" s="22"/>
      <c r="K39" s="136">
        <f>Rehab!J40</f>
        <v>-3.784645164491053</v>
      </c>
      <c r="L39" s="136"/>
      <c r="M39" s="136">
        <f t="shared" si="4"/>
        <v>1719.9997844491927</v>
      </c>
      <c r="O39" s="22"/>
    </row>
    <row r="40" spans="1:16" x14ac:dyDescent="0.25">
      <c r="A40" s="48">
        <f t="shared" si="5"/>
        <v>2017</v>
      </c>
      <c r="B40" s="22">
        <f t="shared" si="0"/>
        <v>131.35580081256444</v>
      </c>
      <c r="C40" s="22">
        <f t="shared" si="1"/>
        <v>1742.7571541991854</v>
      </c>
      <c r="D40" s="92"/>
      <c r="E40" s="92"/>
      <c r="F40" s="22">
        <f t="shared" si="2"/>
        <v>144.42647946905834</v>
      </c>
      <c r="G40" s="22">
        <f t="shared" si="3"/>
        <v>1860.6416187537602</v>
      </c>
      <c r="I40" s="48"/>
      <c r="J40" s="22"/>
      <c r="K40" s="136">
        <f>Rehab!J41</f>
        <v>-5.997985420019404</v>
      </c>
      <c r="L40" s="136"/>
      <c r="M40" s="136">
        <f t="shared" si="4"/>
        <v>1866.6396041737796</v>
      </c>
      <c r="O40" s="22"/>
    </row>
    <row r="41" spans="1:16" x14ac:dyDescent="0.25">
      <c r="A41" s="48">
        <f t="shared" si="5"/>
        <v>2018</v>
      </c>
      <c r="B41" s="22">
        <f t="shared" si="0"/>
        <v>135.70517902861246</v>
      </c>
      <c r="C41" s="22">
        <f t="shared" si="1"/>
        <v>1878.4623332277979</v>
      </c>
      <c r="D41" s="127" t="s">
        <v>259</v>
      </c>
      <c r="E41" s="92"/>
      <c r="F41" s="22">
        <f t="shared" si="2"/>
        <v>149.79364652782095</v>
      </c>
      <c r="G41" s="22">
        <f t="shared" si="3"/>
        <v>2010.4352652815812</v>
      </c>
      <c r="I41" s="48"/>
      <c r="J41" s="22"/>
      <c r="K41" s="136">
        <f>Rehab!J42</f>
        <v>-7.3316238493014794</v>
      </c>
      <c r="L41" s="136"/>
      <c r="M41" s="136">
        <f t="shared" si="4"/>
        <v>2017.7668891308826</v>
      </c>
      <c r="O41" s="22"/>
    </row>
    <row r="42" spans="1:16" x14ac:dyDescent="0.25">
      <c r="A42" s="48">
        <f>A41+1</f>
        <v>2019</v>
      </c>
      <c r="B42">
        <v>200</v>
      </c>
      <c r="C42" s="92">
        <f>C41+$F$14</f>
        <v>2064.0423332277978</v>
      </c>
      <c r="F42" s="22">
        <f t="shared" si="2"/>
        <v>215.4803174992085</v>
      </c>
      <c r="G42" s="22">
        <f t="shared" si="3"/>
        <v>2225.9155827807899</v>
      </c>
      <c r="I42" s="48"/>
      <c r="J42" s="22"/>
      <c r="K42" s="136">
        <f>Rehab!J43</f>
        <v>-7.5585003224982188</v>
      </c>
      <c r="L42" s="136"/>
      <c r="M42" s="136">
        <f t="shared" si="4"/>
        <v>2233.4740831032882</v>
      </c>
      <c r="O42" s="22"/>
    </row>
    <row r="43" spans="1:16" x14ac:dyDescent="0.25">
      <c r="A43" s="48">
        <f t="shared" si="5"/>
        <v>2020</v>
      </c>
      <c r="B43" s="22">
        <f t="shared" ref="B43:B58" si="6">B42+B42*$S$26</f>
        <v>206.62228571428571</v>
      </c>
      <c r="C43" s="92">
        <f>C42+B43</f>
        <v>2270.6646189420835</v>
      </c>
      <c r="F43" s="22">
        <f t="shared" si="2"/>
        <v>223.65227035635132</v>
      </c>
      <c r="G43" s="22">
        <f t="shared" si="3"/>
        <v>2449.5678531371414</v>
      </c>
      <c r="H43" s="136">
        <f>G43/1000</f>
        <v>2.4495678531371414</v>
      </c>
      <c r="I43" s="48" t="s">
        <v>315</v>
      </c>
      <c r="J43" s="22"/>
      <c r="K43" s="136">
        <f>Rehab!J44</f>
        <v>-8.0557746641088102</v>
      </c>
      <c r="L43" s="136"/>
      <c r="M43" s="136">
        <f t="shared" si="4"/>
        <v>2457.6236278012502</v>
      </c>
      <c r="N43" s="136">
        <f>M43</f>
        <v>2457.6236278012502</v>
      </c>
      <c r="O43" s="136">
        <f>M43/1000</f>
        <v>2.4576236278012504</v>
      </c>
      <c r="P43" s="48" t="s">
        <v>315</v>
      </c>
    </row>
    <row r="44" spans="1:16" x14ac:dyDescent="0.25">
      <c r="A44" s="48">
        <f t="shared" si="5"/>
        <v>2021</v>
      </c>
      <c r="B44" s="22">
        <f t="shared" si="6"/>
        <v>213.46384476897958</v>
      </c>
      <c r="C44" s="92">
        <f t="shared" ref="C44:C58" si="7">C43+B44</f>
        <v>2484.128463711063</v>
      </c>
      <c r="F44" s="22">
        <f t="shared" si="2"/>
        <v>232.09480824681256</v>
      </c>
      <c r="G44" s="22">
        <f t="shared" si="3"/>
        <v>2681.6626613839539</v>
      </c>
      <c r="H44" s="136"/>
      <c r="J44" s="22"/>
      <c r="K44" s="136">
        <f>Rehab!J45</f>
        <v>-9.6275164615661311</v>
      </c>
      <c r="L44" s="136"/>
      <c r="M44" s="136">
        <f t="shared" si="4"/>
        <v>2691.2901778455202</v>
      </c>
      <c r="O44" s="136"/>
      <c r="P44" s="48"/>
    </row>
    <row r="45" spans="1:16" x14ac:dyDescent="0.25">
      <c r="A45" s="48">
        <f t="shared" si="5"/>
        <v>2022</v>
      </c>
      <c r="B45" s="22">
        <f t="shared" si="6"/>
        <v>220.53193761763018</v>
      </c>
      <c r="C45" s="92">
        <f t="shared" si="7"/>
        <v>2704.6604013286933</v>
      </c>
      <c r="F45" s="22">
        <f t="shared" si="2"/>
        <v>240.81689062759537</v>
      </c>
      <c r="G45" s="22">
        <f t="shared" si="3"/>
        <v>2922.4795520115495</v>
      </c>
      <c r="H45" s="136"/>
      <c r="J45" s="22"/>
      <c r="K45" s="136">
        <f>Rehab!J46</f>
        <v>-9.8778318895668917</v>
      </c>
      <c r="L45" s="136"/>
      <c r="M45" s="136">
        <f t="shared" si="4"/>
        <v>2932.3573839011165</v>
      </c>
      <c r="O45" s="136"/>
      <c r="P45" s="48"/>
    </row>
    <row r="46" spans="1:16" x14ac:dyDescent="0.25">
      <c r="A46" s="48">
        <f t="shared" si="5"/>
        <v>2023</v>
      </c>
      <c r="B46" s="22">
        <f t="shared" si="6"/>
        <v>227.83406511777508</v>
      </c>
      <c r="C46" s="92">
        <f t="shared" si="7"/>
        <v>2932.4944664464683</v>
      </c>
      <c r="F46" s="22">
        <f t="shared" si="2"/>
        <v>249.82777361612358</v>
      </c>
      <c r="G46" s="22">
        <f t="shared" si="3"/>
        <v>3172.307325627673</v>
      </c>
      <c r="H46" s="136"/>
      <c r="K46" s="136">
        <f>Rehab!J47</f>
        <v>-10.134655518695581</v>
      </c>
      <c r="M46" s="136">
        <f t="shared" si="4"/>
        <v>3182.4419811463686</v>
      </c>
      <c r="O46" s="136"/>
      <c r="P46" s="48"/>
    </row>
    <row r="47" spans="1:16" x14ac:dyDescent="0.25">
      <c r="A47" s="48">
        <f t="shared" si="5"/>
        <v>2024</v>
      </c>
      <c r="B47" s="22">
        <f t="shared" si="6"/>
        <v>235.37797649106051</v>
      </c>
      <c r="C47" s="92">
        <f t="shared" si="7"/>
        <v>3167.8724429375288</v>
      </c>
      <c r="F47" s="22">
        <f t="shared" si="2"/>
        <v>259.13701981309197</v>
      </c>
      <c r="G47" s="22">
        <f t="shared" si="3"/>
        <v>3431.4443454407651</v>
      </c>
      <c r="H47" s="136"/>
      <c r="K47" s="136">
        <f>Rehab!J48</f>
        <v>-10.398156562181612</v>
      </c>
      <c r="M47" s="136">
        <f t="shared" si="4"/>
        <v>3441.8425020029467</v>
      </c>
      <c r="O47" s="136"/>
      <c r="P47" s="48"/>
    </row>
    <row r="48" spans="1:16" x14ac:dyDescent="0.25">
      <c r="A48" s="48">
        <f t="shared" si="5"/>
        <v>2025</v>
      </c>
      <c r="B48" s="22">
        <f t="shared" si="6"/>
        <v>243.17167754693165</v>
      </c>
      <c r="C48" s="92">
        <f t="shared" si="7"/>
        <v>3411.0441204844606</v>
      </c>
      <c r="F48" s="22">
        <f t="shared" si="2"/>
        <v>268.75450845056508</v>
      </c>
      <c r="G48" s="22">
        <f t="shared" si="3"/>
        <v>3700.1988538913301</v>
      </c>
      <c r="H48" s="136">
        <f t="shared" ref="H48:H58" si="8">G48/1000</f>
        <v>3.70019885389133</v>
      </c>
      <c r="I48" s="48" t="s">
        <v>315</v>
      </c>
      <c r="K48" s="136">
        <f>Rehab!J49</f>
        <v>-10.668508632798421</v>
      </c>
      <c r="M48" s="136">
        <f t="shared" si="4"/>
        <v>3710.8673625241286</v>
      </c>
      <c r="N48" s="136">
        <f>M48</f>
        <v>3710.8673625241286</v>
      </c>
      <c r="O48" s="136">
        <f>M48/1000</f>
        <v>3.7108673625241284</v>
      </c>
      <c r="P48" s="48" t="s">
        <v>315</v>
      </c>
    </row>
    <row r="49" spans="1:16" x14ac:dyDescent="0.25">
      <c r="A49" s="48">
        <f t="shared" si="5"/>
        <v>2026</v>
      </c>
      <c r="B49" s="22">
        <f t="shared" si="6"/>
        <v>251.22343917862133</v>
      </c>
      <c r="C49" s="92">
        <f t="shared" si="7"/>
        <v>3662.267559663082</v>
      </c>
      <c r="F49" s="22">
        <f t="shared" si="2"/>
        <v>278.69044587609443</v>
      </c>
      <c r="G49" s="22">
        <f t="shared" si="3"/>
        <v>3978.8892997674247</v>
      </c>
      <c r="H49" s="136"/>
      <c r="K49" s="136">
        <f>Rehab!J50</f>
        <v>-10.945889857251132</v>
      </c>
      <c r="M49" s="136">
        <f t="shared" si="4"/>
        <v>3989.8351896246759</v>
      </c>
      <c r="O49" s="136"/>
      <c r="P49" s="48"/>
    </row>
    <row r="50" spans="1:16" x14ac:dyDescent="0.25">
      <c r="A50" s="48">
        <f>A49+1</f>
        <v>2027</v>
      </c>
      <c r="B50" s="22">
        <f t="shared" si="6"/>
        <v>259.54180614045288</v>
      </c>
      <c r="C50" s="92">
        <f t="shared" si="7"/>
        <v>3921.809365803535</v>
      </c>
      <c r="F50" s="22">
        <f t="shared" si="2"/>
        <v>288.9553763839794</v>
      </c>
      <c r="G50" s="22">
        <f t="shared" si="3"/>
        <v>4267.8446761514042</v>
      </c>
      <c r="H50" s="136">
        <f t="shared" si="8"/>
        <v>4.2678446761514044</v>
      </c>
      <c r="I50" s="48" t="s">
        <v>315</v>
      </c>
      <c r="K50" s="136">
        <f>Rehab!J51</f>
        <v>-11.230482993539738</v>
      </c>
      <c r="M50" s="136">
        <f t="shared" si="4"/>
        <v>4279.0751591449443</v>
      </c>
      <c r="N50" s="136">
        <f>M50</f>
        <v>4279.0751591449443</v>
      </c>
      <c r="O50" s="136">
        <f>M50/1000</f>
        <v>4.2790751591449441</v>
      </c>
      <c r="P50" s="48" t="s">
        <v>315</v>
      </c>
    </row>
    <row r="51" spans="1:16" x14ac:dyDescent="0.25">
      <c r="A51" s="48">
        <f t="shared" si="5"/>
        <v>2028</v>
      </c>
      <c r="B51" s="22">
        <f t="shared" si="6"/>
        <v>268.13560611577202</v>
      </c>
      <c r="C51" s="92">
        <f t="shared" si="7"/>
        <v>4189.9449719193071</v>
      </c>
      <c r="F51" s="22">
        <f t="shared" si="2"/>
        <v>299.56019340516684</v>
      </c>
      <c r="G51" s="22">
        <f t="shared" si="3"/>
        <v>4567.4048695565707</v>
      </c>
      <c r="H51" s="136"/>
      <c r="K51" s="136">
        <f>Rehab!J52</f>
        <v>-11.522475551371713</v>
      </c>
      <c r="M51" s="136">
        <f t="shared" si="4"/>
        <v>4578.9273451079425</v>
      </c>
      <c r="O51" s="136"/>
      <c r="P51" s="48"/>
    </row>
    <row r="52" spans="1:16" x14ac:dyDescent="0.25">
      <c r="A52" s="48">
        <f t="shared" si="5"/>
        <v>2029</v>
      </c>
      <c r="B52" s="22">
        <f t="shared" si="6"/>
        <v>277.01395908513109</v>
      </c>
      <c r="C52" s="92">
        <f t="shared" si="7"/>
        <v>4466.9589310044385</v>
      </c>
      <c r="F52" s="22">
        <f t="shared" si="2"/>
        <v>310.5161510676644</v>
      </c>
      <c r="G52" s="22">
        <f t="shared" si="3"/>
        <v>4877.9210206242351</v>
      </c>
      <c r="H52" s="136"/>
      <c r="K52" s="136">
        <f>Rehab!J53</f>
        <v>-11.822059915707371</v>
      </c>
      <c r="M52" s="136">
        <f t="shared" si="4"/>
        <v>4889.7430805399426</v>
      </c>
      <c r="O52" s="136"/>
      <c r="P52" s="48"/>
    </row>
    <row r="53" spans="1:16" x14ac:dyDescent="0.25">
      <c r="A53" s="48">
        <f t="shared" si="5"/>
        <v>2030</v>
      </c>
      <c r="B53" s="22">
        <f t="shared" si="6"/>
        <v>286.18628700466707</v>
      </c>
      <c r="C53" s="92">
        <f t="shared" si="7"/>
        <v>4753.1452180091055</v>
      </c>
      <c r="F53" s="22">
        <f t="shared" si="2"/>
        <v>321.83487613973534</v>
      </c>
      <c r="G53" s="22">
        <f t="shared" si="3"/>
        <v>5199.7558967639707</v>
      </c>
      <c r="H53" s="136">
        <f t="shared" si="8"/>
        <v>5.1997558967639703</v>
      </c>
      <c r="I53" s="48" t="s">
        <v>315</v>
      </c>
      <c r="K53" s="136">
        <f>Rehab!J54</f>
        <v>-12.129433473515746</v>
      </c>
      <c r="M53" s="136">
        <f t="shared" si="4"/>
        <v>5211.8853302374864</v>
      </c>
      <c r="N53" s="136">
        <f>M53</f>
        <v>5211.8853302374864</v>
      </c>
      <c r="O53" s="136">
        <f>M53/1000</f>
        <v>5.2118853302374868</v>
      </c>
      <c r="P53" s="48" t="s">
        <v>315</v>
      </c>
    </row>
    <row r="54" spans="1:16" x14ac:dyDescent="0.25">
      <c r="A54" s="48">
        <f t="shared" si="5"/>
        <v>2031</v>
      </c>
      <c r="B54" s="22">
        <f t="shared" si="6"/>
        <v>295.66232380494444</v>
      </c>
      <c r="C54" s="92">
        <f t="shared" si="7"/>
        <v>5048.8075418140497</v>
      </c>
      <c r="F54" s="22">
        <f t="shared" ref="F54:F58" si="9">B54+C54*$C$17</f>
        <v>333.52838036854979</v>
      </c>
      <c r="G54" s="22">
        <f t="shared" si="3"/>
        <v>5533.2842771325204</v>
      </c>
      <c r="H54" s="136"/>
      <c r="K54" s="136">
        <f>Rehab!J55</f>
        <v>-12.444798743827221</v>
      </c>
      <c r="M54" s="136">
        <f t="shared" si="4"/>
        <v>5545.7290758763475</v>
      </c>
      <c r="O54" s="136"/>
      <c r="P54" s="48"/>
    </row>
    <row r="55" spans="1:16" x14ac:dyDescent="0.25">
      <c r="A55" s="48">
        <f t="shared" si="5"/>
        <v>2032</v>
      </c>
      <c r="B55" s="22">
        <f t="shared" si="6"/>
        <v>305.45212572087445</v>
      </c>
      <c r="C55" s="92">
        <f t="shared" si="7"/>
        <v>5354.2596675349241</v>
      </c>
      <c r="F55" s="22">
        <f t="shared" si="9"/>
        <v>345.60907322738638</v>
      </c>
      <c r="G55" s="22">
        <f t="shared" si="3"/>
        <v>5878.8933503599064</v>
      </c>
      <c r="H55" s="136">
        <f t="shared" si="8"/>
        <v>5.8788933503599061</v>
      </c>
      <c r="I55" t="s">
        <v>315</v>
      </c>
      <c r="K55" s="136">
        <f>Rehab!J56</f>
        <v>-12.768363511166683</v>
      </c>
      <c r="M55" s="136">
        <f t="shared" si="4"/>
        <v>5891.6617138710735</v>
      </c>
      <c r="N55" s="136">
        <f>M55</f>
        <v>5891.6617138710735</v>
      </c>
      <c r="O55" s="136">
        <f>M55/1000</f>
        <v>5.8916617138710734</v>
      </c>
      <c r="P55" s="48" t="s">
        <v>315</v>
      </c>
    </row>
    <row r="56" spans="1:16" x14ac:dyDescent="0.25">
      <c r="A56" s="48">
        <f t="shared" si="5"/>
        <v>2033</v>
      </c>
      <c r="B56" s="22">
        <f t="shared" si="6"/>
        <v>315.56608196367222</v>
      </c>
      <c r="C56" s="92">
        <f t="shared" si="7"/>
        <v>5669.8257494985965</v>
      </c>
      <c r="F56" s="22">
        <f t="shared" si="9"/>
        <v>358.08977508491171</v>
      </c>
      <c r="G56" s="22">
        <f t="shared" si="3"/>
        <v>6236.9831254448181</v>
      </c>
      <c r="H56" s="136"/>
      <c r="K56" s="136">
        <f>Rehab!J57</f>
        <v>-13.100340962457096</v>
      </c>
      <c r="M56" s="136">
        <f t="shared" si="4"/>
        <v>6250.0834664072754</v>
      </c>
      <c r="O56" s="136"/>
      <c r="P56" s="48"/>
    </row>
    <row r="57" spans="1:16" x14ac:dyDescent="0.25">
      <c r="A57" s="48">
        <f t="shared" si="5"/>
        <v>2034</v>
      </c>
      <c r="B57" s="22">
        <f t="shared" si="6"/>
        <v>326.01492574617794</v>
      </c>
      <c r="C57" s="92">
        <f t="shared" si="7"/>
        <v>5995.8406752447745</v>
      </c>
      <c r="F57" s="22">
        <f t="shared" si="9"/>
        <v>370.98373081051375</v>
      </c>
      <c r="G57" s="22">
        <f t="shared" si="3"/>
        <v>6607.9668562553315</v>
      </c>
      <c r="H57" s="136"/>
      <c r="K57" s="136">
        <f>Rehab!J58</f>
        <v>-13.440949827480949</v>
      </c>
      <c r="M57" s="136">
        <f t="shared" si="4"/>
        <v>6621.4078060828124</v>
      </c>
      <c r="O57" s="136"/>
      <c r="P57" s="48"/>
    </row>
    <row r="58" spans="1:16" x14ac:dyDescent="0.25">
      <c r="A58" s="48">
        <f t="shared" si="5"/>
        <v>2035</v>
      </c>
      <c r="B58" s="22">
        <f t="shared" si="6"/>
        <v>336.80974567324211</v>
      </c>
      <c r="C58" s="92">
        <f t="shared" si="7"/>
        <v>6332.6504209180166</v>
      </c>
      <c r="F58" s="22">
        <f t="shared" si="9"/>
        <v>384.30462383012724</v>
      </c>
      <c r="G58" s="22">
        <f t="shared" si="3"/>
        <v>6992.2714800854592</v>
      </c>
      <c r="H58" s="136">
        <f t="shared" si="8"/>
        <v>6.9922714800854591</v>
      </c>
      <c r="I58" s="48" t="s">
        <v>315</v>
      </c>
      <c r="K58" s="136">
        <f>Rehab!J59</f>
        <v>-13.79041452299532</v>
      </c>
      <c r="M58" s="136">
        <f t="shared" si="4"/>
        <v>7006.0618946084542</v>
      </c>
      <c r="N58" s="136">
        <f>M58</f>
        <v>7006.0618946084542</v>
      </c>
      <c r="O58" s="136">
        <f>M58/1000</f>
        <v>7.0060618946084539</v>
      </c>
      <c r="P58" s="48" t="s">
        <v>315</v>
      </c>
    </row>
    <row r="60" spans="1:16" x14ac:dyDescent="0.25">
      <c r="A60" t="s">
        <v>325</v>
      </c>
      <c r="H60" s="136"/>
    </row>
  </sheetData>
  <hyperlinks>
    <hyperlink ref="A12" r:id="rId1" xr:uid="{89447574-42B1-414F-9DCB-973A14203EB7}"/>
    <hyperlink ref="D1" r:id="rId2" xr:uid="{DA33F92F-7062-4A4F-847C-4CB94C2DD91F}"/>
    <hyperlink ref="Q23" r:id="rId3" xr:uid="{40E3CA77-DFC6-4E6C-AF3F-840DFE2F47CF}"/>
  </hyperlinks>
  <pageMargins left="0.7" right="0.7" top="0.75" bottom="0.75" header="0.3" footer="0.3"/>
  <pageSetup paperSize="9" orientation="portrait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AC855-2045-4AA8-AD62-ED054D0FE616}">
  <sheetPr>
    <tabColor rgb="FF7030A0"/>
  </sheetPr>
  <dimension ref="A1:AH53"/>
  <sheetViews>
    <sheetView workbookViewId="0"/>
  </sheetViews>
  <sheetFormatPr defaultRowHeight="15" x14ac:dyDescent="0.25"/>
  <cols>
    <col min="1" max="1" width="10.5703125" style="48" customWidth="1"/>
    <col min="3" max="3" width="11.140625" customWidth="1"/>
    <col min="5" max="5" width="9.140625" style="48"/>
    <col min="6" max="6" width="11" style="48" customWidth="1"/>
    <col min="7" max="8" width="13" style="48" customWidth="1"/>
    <col min="9" max="16" width="9.140625" style="48"/>
    <col min="17" max="17" width="13" customWidth="1"/>
    <col min="18" max="18" width="13" style="48" customWidth="1"/>
    <col min="19" max="19" width="13" customWidth="1"/>
  </cols>
  <sheetData>
    <row r="1" spans="1:34" x14ac:dyDescent="0.25">
      <c r="A1" s="139" t="s">
        <v>275</v>
      </c>
    </row>
    <row r="2" spans="1:34" x14ac:dyDescent="0.25">
      <c r="A2" s="48" t="s">
        <v>328</v>
      </c>
      <c r="B2" s="48"/>
      <c r="C2" s="48"/>
      <c r="D2" s="48"/>
      <c r="E2" s="48" t="s">
        <v>329</v>
      </c>
      <c r="F2" s="48" t="s">
        <v>330</v>
      </c>
      <c r="G2" s="48" t="s">
        <v>331</v>
      </c>
    </row>
    <row r="3" spans="1:34" s="48" customFormat="1" x14ac:dyDescent="0.25">
      <c r="A3" s="48" t="s">
        <v>333</v>
      </c>
      <c r="E3" s="48">
        <v>2025</v>
      </c>
    </row>
    <row r="4" spans="1:34" s="48" customFormat="1" x14ac:dyDescent="0.25">
      <c r="A4" s="48" t="s">
        <v>334</v>
      </c>
      <c r="C4" s="6">
        <f>CPI!$G$5</f>
        <v>3.3111428571428576E-2</v>
      </c>
    </row>
    <row r="5" spans="1:34" s="48" customFormat="1" x14ac:dyDescent="0.25">
      <c r="A5" s="48" t="s">
        <v>335</v>
      </c>
      <c r="C5" s="6">
        <v>0.03</v>
      </c>
    </row>
    <row r="6" spans="1:34" s="48" customFormat="1" x14ac:dyDescent="0.25"/>
    <row r="7" spans="1:34" x14ac:dyDescent="0.25">
      <c r="A7" s="57" t="s">
        <v>439</v>
      </c>
      <c r="M7" s="40" t="s">
        <v>382</v>
      </c>
    </row>
    <row r="8" spans="1:34" x14ac:dyDescent="0.25">
      <c r="C8" s="83" t="s">
        <v>326</v>
      </c>
      <c r="D8" s="57" t="s">
        <v>153</v>
      </c>
      <c r="E8" s="57"/>
      <c r="F8" s="83" t="s">
        <v>316</v>
      </c>
      <c r="G8" s="57" t="s">
        <v>153</v>
      </c>
      <c r="H8" s="57"/>
      <c r="I8" s="83" t="s">
        <v>276</v>
      </c>
      <c r="J8" s="57" t="s">
        <v>153</v>
      </c>
      <c r="K8" s="57"/>
      <c r="L8" s="57" t="s">
        <v>98</v>
      </c>
      <c r="M8" s="57" t="s">
        <v>327</v>
      </c>
      <c r="N8" s="57" t="s">
        <v>153</v>
      </c>
    </row>
    <row r="9" spans="1:34" x14ac:dyDescent="0.25">
      <c r="A9" s="48">
        <v>1</v>
      </c>
      <c r="B9">
        <v>2023</v>
      </c>
      <c r="C9" s="136">
        <v>30.5</v>
      </c>
      <c r="D9" s="136">
        <v>30</v>
      </c>
      <c r="E9" s="136"/>
      <c r="F9" s="136">
        <f>D9+D9*C5</f>
        <v>30.9</v>
      </c>
      <c r="G9" s="136">
        <f>F9</f>
        <v>30.9</v>
      </c>
      <c r="H9" s="136"/>
      <c r="I9" s="48">
        <v>700</v>
      </c>
      <c r="J9" s="48">
        <v>700</v>
      </c>
      <c r="L9" s="48">
        <v>2013</v>
      </c>
      <c r="M9" s="48">
        <v>20</v>
      </c>
      <c r="N9" s="48">
        <v>20</v>
      </c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</row>
    <row r="10" spans="1:34" x14ac:dyDescent="0.25">
      <c r="A10" s="48">
        <f>A9+1</f>
        <v>2</v>
      </c>
      <c r="B10">
        <f>B9+1</f>
        <v>2024</v>
      </c>
      <c r="C10" s="136">
        <f>C9+C9*CPI!$G$5</f>
        <v>31.509898571428572</v>
      </c>
      <c r="D10" s="136">
        <f>D9+C10</f>
        <v>61.509898571428572</v>
      </c>
      <c r="E10" s="136"/>
      <c r="F10" s="136">
        <f>C10+C10*$C$5</f>
        <v>32.45519552857143</v>
      </c>
      <c r="G10" s="136">
        <f>G9+F10</f>
        <v>63.355195528571429</v>
      </c>
      <c r="H10" s="136"/>
      <c r="I10" s="48">
        <v>700</v>
      </c>
      <c r="J10" s="48">
        <f>J9+I10</f>
        <v>1400</v>
      </c>
      <c r="L10" s="48">
        <v>2014</v>
      </c>
      <c r="M10" s="48">
        <v>20</v>
      </c>
      <c r="N10" s="48">
        <f t="shared" ref="N10:N16" si="0">N9+M10</f>
        <v>40</v>
      </c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</row>
    <row r="11" spans="1:34" x14ac:dyDescent="0.25">
      <c r="A11" s="48">
        <f t="shared" ref="A11:A31" si="1">A10+1</f>
        <v>3</v>
      </c>
      <c r="B11" s="48">
        <f t="shared" ref="B11:B31" si="2">B10+1</f>
        <v>2025</v>
      </c>
      <c r="C11" s="136">
        <f>C10+C10*CPI!$G$5</f>
        <v>32.553236327269389</v>
      </c>
      <c r="D11" s="136">
        <f t="shared" ref="D11:D31" si="3">D10+C11</f>
        <v>94.063134898697967</v>
      </c>
      <c r="E11" s="136"/>
      <c r="F11" s="136">
        <f t="shared" ref="F11:F31" si="4">C11+C11*$C$5</f>
        <v>33.529833417087467</v>
      </c>
      <c r="G11" s="136">
        <f t="shared" ref="G11:G31" si="5">G10+F11</f>
        <v>96.885028945658888</v>
      </c>
      <c r="H11" s="136"/>
      <c r="I11" s="48">
        <v>700</v>
      </c>
      <c r="J11" s="48">
        <f t="shared" ref="J11:J31" si="6">J10+I11</f>
        <v>2100</v>
      </c>
      <c r="L11" s="48">
        <v>2015</v>
      </c>
      <c r="M11" s="48">
        <v>20</v>
      </c>
      <c r="N11" s="48">
        <f t="shared" si="0"/>
        <v>60</v>
      </c>
      <c r="S11" s="3"/>
      <c r="T11" s="3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</row>
    <row r="12" spans="1:34" x14ac:dyDescent="0.25">
      <c r="A12" s="48">
        <f t="shared" si="1"/>
        <v>4</v>
      </c>
      <c r="B12" s="48">
        <f t="shared" si="2"/>
        <v>2026</v>
      </c>
      <c r="C12" s="136">
        <f>C11+C11*CPI!$G$5</f>
        <v>33.631120486688602</v>
      </c>
      <c r="D12" s="136">
        <f t="shared" si="3"/>
        <v>127.69425538538657</v>
      </c>
      <c r="E12" s="136"/>
      <c r="F12" s="136">
        <f t="shared" si="4"/>
        <v>34.640054101289259</v>
      </c>
      <c r="G12" s="136">
        <f t="shared" si="5"/>
        <v>131.52508304694814</v>
      </c>
      <c r="H12" s="136"/>
      <c r="I12" s="48">
        <v>300</v>
      </c>
      <c r="J12" s="48">
        <f t="shared" si="6"/>
        <v>2400</v>
      </c>
      <c r="L12" s="48">
        <v>2016</v>
      </c>
      <c r="M12" s="48">
        <v>20</v>
      </c>
      <c r="N12" s="48">
        <f t="shared" si="0"/>
        <v>80</v>
      </c>
    </row>
    <row r="13" spans="1:34" x14ac:dyDescent="0.25">
      <c r="A13" s="48">
        <f t="shared" si="1"/>
        <v>5</v>
      </c>
      <c r="B13" s="48">
        <f t="shared" si="2"/>
        <v>2027</v>
      </c>
      <c r="C13" s="136">
        <f>C12+C12*CPI!$G$5</f>
        <v>34.744694930460696</v>
      </c>
      <c r="D13" s="136">
        <f t="shared" si="3"/>
        <v>162.43895031584725</v>
      </c>
      <c r="E13" s="136"/>
      <c r="F13" s="136">
        <f t="shared" si="4"/>
        <v>35.787035778374516</v>
      </c>
      <c r="G13" s="136">
        <f t="shared" si="5"/>
        <v>167.31211882532267</v>
      </c>
      <c r="H13" s="136"/>
      <c r="I13" s="48">
        <v>300</v>
      </c>
      <c r="J13" s="48">
        <f t="shared" si="6"/>
        <v>2700</v>
      </c>
      <c r="L13" s="48">
        <v>2017</v>
      </c>
      <c r="M13" s="48">
        <v>20</v>
      </c>
      <c r="N13" s="48">
        <f t="shared" si="0"/>
        <v>100</v>
      </c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</row>
    <row r="14" spans="1:34" x14ac:dyDescent="0.25">
      <c r="A14" s="48">
        <f t="shared" si="1"/>
        <v>6</v>
      </c>
      <c r="B14" s="48">
        <f t="shared" si="2"/>
        <v>2028</v>
      </c>
      <c r="C14" s="136">
        <f>C13+C13*CPI!$G$5</f>
        <v>35.895141414886723</v>
      </c>
      <c r="D14" s="136">
        <f t="shared" si="3"/>
        <v>198.33409173073397</v>
      </c>
      <c r="E14" s="136"/>
      <c r="F14" s="136">
        <f t="shared" si="4"/>
        <v>36.971995657333323</v>
      </c>
      <c r="G14" s="136">
        <f t="shared" si="5"/>
        <v>204.28411448265598</v>
      </c>
      <c r="H14" s="136"/>
      <c r="I14" s="48">
        <v>300</v>
      </c>
      <c r="J14" s="48">
        <f t="shared" si="6"/>
        <v>3000</v>
      </c>
      <c r="L14" s="48">
        <v>2018</v>
      </c>
      <c r="M14" s="48">
        <v>20</v>
      </c>
      <c r="N14" s="48">
        <f t="shared" si="0"/>
        <v>120</v>
      </c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</row>
    <row r="15" spans="1:34" x14ac:dyDescent="0.25">
      <c r="A15" s="48">
        <f t="shared" si="1"/>
        <v>7</v>
      </c>
      <c r="B15" s="48">
        <f t="shared" si="2"/>
        <v>2029</v>
      </c>
      <c r="C15" s="136">
        <f>C14+C14*CPI!$G$5</f>
        <v>37.083680825907074</v>
      </c>
      <c r="D15" s="136">
        <f t="shared" si="3"/>
        <v>235.41777255664104</v>
      </c>
      <c r="E15" s="136"/>
      <c r="F15" s="136">
        <f t="shared" si="4"/>
        <v>38.196191250684286</v>
      </c>
      <c r="G15" s="136">
        <f t="shared" si="5"/>
        <v>242.48030573334026</v>
      </c>
      <c r="H15" s="136"/>
      <c r="I15" s="48">
        <v>300</v>
      </c>
      <c r="J15" s="48">
        <f t="shared" si="6"/>
        <v>3300</v>
      </c>
      <c r="L15" s="48">
        <v>2019</v>
      </c>
      <c r="M15" s="48">
        <v>20</v>
      </c>
      <c r="N15" s="48">
        <f t="shared" si="0"/>
        <v>140</v>
      </c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</row>
    <row r="16" spans="1:34" x14ac:dyDescent="0.25">
      <c r="A16" s="48">
        <f t="shared" si="1"/>
        <v>8</v>
      </c>
      <c r="B16" s="48">
        <f t="shared" si="2"/>
        <v>2030</v>
      </c>
      <c r="C16" s="136">
        <f>C15+C15*CPI!$G$5</f>
        <v>38.31157447473975</v>
      </c>
      <c r="D16" s="136">
        <f t="shared" si="3"/>
        <v>273.72934703138077</v>
      </c>
      <c r="E16" s="136"/>
      <c r="F16" s="136">
        <f t="shared" si="4"/>
        <v>39.460921708981942</v>
      </c>
      <c r="G16" s="136">
        <f t="shared" si="5"/>
        <v>281.9412274423222</v>
      </c>
      <c r="H16" s="136"/>
      <c r="I16" s="48">
        <v>300</v>
      </c>
      <c r="J16" s="48">
        <f t="shared" si="6"/>
        <v>3600</v>
      </c>
      <c r="L16" s="48">
        <v>2020</v>
      </c>
      <c r="M16" s="48">
        <v>20</v>
      </c>
      <c r="N16" s="48">
        <f t="shared" si="0"/>
        <v>160</v>
      </c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</row>
    <row r="17" spans="1:13" x14ac:dyDescent="0.25">
      <c r="A17" s="48">
        <f t="shared" si="1"/>
        <v>9</v>
      </c>
      <c r="B17" s="48">
        <f t="shared" si="2"/>
        <v>2031</v>
      </c>
      <c r="C17" s="136">
        <f>C16+C16*CPI!$G$5</f>
        <v>39.58012543641906</v>
      </c>
      <c r="D17" s="136">
        <f t="shared" si="3"/>
        <v>313.30947246779982</v>
      </c>
      <c r="E17" s="136"/>
      <c r="F17" s="136">
        <f t="shared" si="4"/>
        <v>40.767529199511628</v>
      </c>
      <c r="G17" s="136">
        <f t="shared" si="5"/>
        <v>322.70875664183382</v>
      </c>
      <c r="H17" s="136"/>
      <c r="I17" s="48">
        <v>300</v>
      </c>
      <c r="J17" s="48">
        <f t="shared" si="6"/>
        <v>3900</v>
      </c>
    </row>
    <row r="18" spans="1:13" x14ac:dyDescent="0.25">
      <c r="A18" s="48">
        <f t="shared" si="1"/>
        <v>10</v>
      </c>
      <c r="B18" s="140">
        <f t="shared" si="2"/>
        <v>2032</v>
      </c>
      <c r="C18" s="141">
        <f>C17+C17*CPI!$G$5</f>
        <v>40.890679932655232</v>
      </c>
      <c r="D18" s="141">
        <f t="shared" si="3"/>
        <v>354.20015240045507</v>
      </c>
      <c r="E18" s="141" t="s">
        <v>435</v>
      </c>
      <c r="F18" s="136">
        <f t="shared" si="4"/>
        <v>42.117400330634887</v>
      </c>
      <c r="G18" s="136">
        <f t="shared" si="5"/>
        <v>364.82615697246871</v>
      </c>
      <c r="H18" s="136"/>
      <c r="I18" s="140">
        <v>300</v>
      </c>
      <c r="J18" s="140">
        <f t="shared" si="6"/>
        <v>4200</v>
      </c>
      <c r="K18" s="140"/>
      <c r="L18" s="140"/>
      <c r="M18" s="140"/>
    </row>
    <row r="19" spans="1:13" x14ac:dyDescent="0.25">
      <c r="A19" s="48">
        <f t="shared" si="1"/>
        <v>11</v>
      </c>
      <c r="B19" s="48">
        <f t="shared" si="2"/>
        <v>2033</v>
      </c>
      <c r="C19" s="136">
        <f>C18+C18*CPI!$G$5</f>
        <v>42.244628760482492</v>
      </c>
      <c r="D19" s="136">
        <f t="shared" si="3"/>
        <v>396.44478116093757</v>
      </c>
      <c r="E19" s="136"/>
      <c r="F19" s="136">
        <f t="shared" si="4"/>
        <v>43.511967623296968</v>
      </c>
      <c r="G19" s="136">
        <f t="shared" si="5"/>
        <v>408.33812459576569</v>
      </c>
      <c r="H19" s="136"/>
      <c r="I19" s="48">
        <v>300</v>
      </c>
      <c r="J19" s="48">
        <f t="shared" si="6"/>
        <v>4500</v>
      </c>
    </row>
    <row r="20" spans="1:13" x14ac:dyDescent="0.25">
      <c r="A20" s="48">
        <f t="shared" si="1"/>
        <v>12</v>
      </c>
      <c r="B20" s="48">
        <f t="shared" si="2"/>
        <v>2034</v>
      </c>
      <c r="C20" s="136">
        <f>C19+C19*CPI!$G$5</f>
        <v>43.643408768211728</v>
      </c>
      <c r="D20" s="136">
        <f t="shared" si="3"/>
        <v>440.08818992914928</v>
      </c>
      <c r="E20" s="136"/>
      <c r="F20" s="136">
        <f t="shared" si="4"/>
        <v>44.952711031258083</v>
      </c>
      <c r="G20" s="136">
        <f t="shared" si="5"/>
        <v>453.2908356270238</v>
      </c>
      <c r="H20" s="136"/>
      <c r="I20" s="48">
        <v>300</v>
      </c>
      <c r="J20" s="48">
        <f t="shared" si="6"/>
        <v>4800</v>
      </c>
    </row>
    <row r="21" spans="1:13" x14ac:dyDescent="0.25">
      <c r="A21" s="48">
        <f t="shared" si="1"/>
        <v>13</v>
      </c>
      <c r="B21" s="48">
        <f t="shared" si="2"/>
        <v>2035</v>
      </c>
      <c r="C21" s="136">
        <f>C20+C20*CPI!$G$5</f>
        <v>45.08850438025403</v>
      </c>
      <c r="D21" s="136">
        <f t="shared" si="3"/>
        <v>485.17669430940333</v>
      </c>
      <c r="E21" s="136"/>
      <c r="F21" s="136">
        <f t="shared" si="4"/>
        <v>46.441159511661652</v>
      </c>
      <c r="G21" s="136">
        <f t="shared" si="5"/>
        <v>499.73199513868542</v>
      </c>
      <c r="H21" s="136"/>
      <c r="I21" s="48">
        <v>300</v>
      </c>
      <c r="J21" s="48">
        <f t="shared" si="6"/>
        <v>5100</v>
      </c>
    </row>
    <row r="22" spans="1:13" x14ac:dyDescent="0.25">
      <c r="A22" s="48">
        <f t="shared" si="1"/>
        <v>14</v>
      </c>
      <c r="B22" s="48">
        <f t="shared" si="2"/>
        <v>2036</v>
      </c>
      <c r="C22" s="136">
        <f>C21+C21*CPI!$G$5</f>
        <v>46.581449172433352</v>
      </c>
      <c r="D22" s="136">
        <f t="shared" si="3"/>
        <v>531.75814348183667</v>
      </c>
      <c r="E22" s="136"/>
      <c r="F22" s="136">
        <f t="shared" si="4"/>
        <v>47.978892647606351</v>
      </c>
      <c r="G22" s="136">
        <f t="shared" si="5"/>
        <v>547.71088778629178</v>
      </c>
      <c r="H22" s="136"/>
      <c r="I22" s="48">
        <v>300</v>
      </c>
      <c r="J22" s="48">
        <f t="shared" si="6"/>
        <v>5400</v>
      </c>
    </row>
    <row r="23" spans="1:13" x14ac:dyDescent="0.25">
      <c r="A23" s="48">
        <f t="shared" si="1"/>
        <v>15</v>
      </c>
      <c r="B23" s="48">
        <f t="shared" si="2"/>
        <v>2037</v>
      </c>
      <c r="C23" s="136">
        <f>C22+C22*CPI!$G$5</f>
        <v>48.123827499460013</v>
      </c>
      <c r="D23" s="136">
        <f t="shared" si="3"/>
        <v>579.88197098129672</v>
      </c>
      <c r="E23" s="136"/>
      <c r="F23" s="136">
        <f t="shared" si="4"/>
        <v>49.567542324443814</v>
      </c>
      <c r="G23" s="136">
        <f t="shared" si="5"/>
        <v>597.2784301107356</v>
      </c>
      <c r="H23" s="136"/>
      <c r="I23" s="48">
        <v>300</v>
      </c>
      <c r="J23" s="48">
        <f t="shared" si="6"/>
        <v>5700</v>
      </c>
    </row>
    <row r="24" spans="1:13" x14ac:dyDescent="0.25">
      <c r="A24" s="48">
        <f t="shared" si="1"/>
        <v>16</v>
      </c>
      <c r="B24" s="48">
        <f t="shared" si="2"/>
        <v>2038</v>
      </c>
      <c r="C24" s="136">
        <f>C23+C23*CPI!$G$5</f>
        <v>49.717276176292131</v>
      </c>
      <c r="D24" s="136">
        <f t="shared" si="3"/>
        <v>629.59924715758882</v>
      </c>
      <c r="E24" s="136"/>
      <c r="F24" s="136">
        <f t="shared" si="4"/>
        <v>51.208794461580894</v>
      </c>
      <c r="G24" s="136">
        <f t="shared" si="5"/>
        <v>648.48722457231645</v>
      </c>
      <c r="H24" s="136"/>
      <c r="I24" s="48">
        <v>300</v>
      </c>
      <c r="J24" s="48">
        <f t="shared" si="6"/>
        <v>6000</v>
      </c>
    </row>
    <row r="25" spans="1:13" x14ac:dyDescent="0.25">
      <c r="A25" s="48">
        <f t="shared" si="1"/>
        <v>17</v>
      </c>
      <c r="B25" s="48">
        <f t="shared" si="2"/>
        <v>2039</v>
      </c>
      <c r="C25" s="136">
        <f>C24+C24*CPI!$G$5</f>
        <v>51.363486215169416</v>
      </c>
      <c r="D25" s="136">
        <f t="shared" si="3"/>
        <v>680.96273337275829</v>
      </c>
      <c r="F25" s="136">
        <f t="shared" si="4"/>
        <v>52.904390801624501</v>
      </c>
      <c r="G25" s="136">
        <f t="shared" si="5"/>
        <v>701.39161537394091</v>
      </c>
      <c r="H25" s="136"/>
      <c r="I25" s="48">
        <v>300</v>
      </c>
      <c r="J25" s="48">
        <f t="shared" si="6"/>
        <v>6300</v>
      </c>
    </row>
    <row r="26" spans="1:13" x14ac:dyDescent="0.25">
      <c r="A26" s="48">
        <f t="shared" si="1"/>
        <v>18</v>
      </c>
      <c r="B26" s="48">
        <f t="shared" si="2"/>
        <v>2040</v>
      </c>
      <c r="C26" s="136">
        <f>C25+C25*CPI!$G$5</f>
        <v>53.064204620162556</v>
      </c>
      <c r="D26" s="136">
        <f t="shared" si="3"/>
        <v>734.02693799292081</v>
      </c>
      <c r="F26" s="136">
        <f t="shared" si="4"/>
        <v>54.656130758767432</v>
      </c>
      <c r="G26" s="136">
        <f t="shared" si="5"/>
        <v>756.04774613270831</v>
      </c>
      <c r="H26" s="136"/>
      <c r="I26" s="48">
        <v>300</v>
      </c>
      <c r="J26" s="48">
        <f t="shared" si="6"/>
        <v>6600</v>
      </c>
    </row>
    <row r="27" spans="1:13" x14ac:dyDescent="0.25">
      <c r="A27" s="48">
        <f t="shared" si="1"/>
        <v>19</v>
      </c>
      <c r="B27" s="48">
        <f t="shared" si="2"/>
        <v>2041</v>
      </c>
      <c r="C27" s="136">
        <f>C26+C26*CPI!$G$5</f>
        <v>54.821236241142742</v>
      </c>
      <c r="D27" s="136">
        <f t="shared" si="3"/>
        <v>788.84817423406355</v>
      </c>
      <c r="F27" s="136">
        <f t="shared" si="4"/>
        <v>56.465873328377022</v>
      </c>
      <c r="G27" s="136">
        <f t="shared" si="5"/>
        <v>812.51361946108534</v>
      </c>
      <c r="H27" s="136"/>
      <c r="I27" s="48">
        <v>300</v>
      </c>
      <c r="J27" s="48">
        <f t="shared" si="6"/>
        <v>6900</v>
      </c>
    </row>
    <row r="28" spans="1:13" x14ac:dyDescent="0.25">
      <c r="A28" s="48">
        <f t="shared" si="1"/>
        <v>20</v>
      </c>
      <c r="B28" s="48">
        <f t="shared" si="2"/>
        <v>2042</v>
      </c>
      <c r="C28" s="136">
        <f>C27+C27*CPI!$G$5</f>
        <v>56.636445689138753</v>
      </c>
      <c r="D28" s="136">
        <f t="shared" si="3"/>
        <v>845.48461992320233</v>
      </c>
      <c r="F28" s="136">
        <f t="shared" si="4"/>
        <v>58.335539059812916</v>
      </c>
      <c r="G28" s="136">
        <f t="shared" si="5"/>
        <v>870.8491585208983</v>
      </c>
      <c r="H28" s="136"/>
      <c r="I28" s="48">
        <v>300</v>
      </c>
      <c r="J28" s="48">
        <f t="shared" si="6"/>
        <v>7200</v>
      </c>
    </row>
    <row r="29" spans="1:13" x14ac:dyDescent="0.25">
      <c r="A29" s="48">
        <f t="shared" si="1"/>
        <v>21</v>
      </c>
      <c r="B29" s="48">
        <f t="shared" si="2"/>
        <v>2043</v>
      </c>
      <c r="C29" s="136">
        <f>C28+C28*CPI!$G$5</f>
        <v>58.511759315114261</v>
      </c>
      <c r="D29" s="136">
        <f t="shared" si="3"/>
        <v>903.99637923831665</v>
      </c>
      <c r="F29" s="136">
        <f t="shared" si="4"/>
        <v>60.267112094567686</v>
      </c>
      <c r="G29" s="136">
        <f t="shared" si="5"/>
        <v>931.11627061546596</v>
      </c>
      <c r="I29" s="48">
        <v>300</v>
      </c>
      <c r="J29" s="48">
        <f t="shared" si="6"/>
        <v>7500</v>
      </c>
    </row>
    <row r="30" spans="1:13" x14ac:dyDescent="0.25">
      <c r="A30" s="48">
        <f t="shared" si="1"/>
        <v>22</v>
      </c>
      <c r="B30" s="48">
        <f t="shared" si="2"/>
        <v>2044</v>
      </c>
      <c r="C30" s="136">
        <f>C29+C29*CPI!$G$5</f>
        <v>60.449167254265291</v>
      </c>
      <c r="D30" s="136">
        <f t="shared" si="3"/>
        <v>964.44554649258191</v>
      </c>
      <c r="F30" s="136">
        <f t="shared" si="4"/>
        <v>62.262642271893249</v>
      </c>
      <c r="G30" s="136">
        <f t="shared" si="5"/>
        <v>993.37891288735921</v>
      </c>
      <c r="I30" s="48">
        <v>300</v>
      </c>
      <c r="J30" s="48">
        <f t="shared" si="6"/>
        <v>7800</v>
      </c>
    </row>
    <row r="31" spans="1:13" s="48" customFormat="1" x14ac:dyDescent="0.25">
      <c r="A31" s="48">
        <f t="shared" si="1"/>
        <v>23</v>
      </c>
      <c r="B31" s="48">
        <f t="shared" si="2"/>
        <v>2045</v>
      </c>
      <c r="C31" s="136">
        <f>C30+C30*CPI!$G$5</f>
        <v>62.450725538007234</v>
      </c>
      <c r="D31" s="136">
        <f t="shared" si="3"/>
        <v>1026.8962720305892</v>
      </c>
      <c r="E31" s="48" t="s">
        <v>437</v>
      </c>
      <c r="F31" s="136">
        <f t="shared" si="4"/>
        <v>64.324247304147448</v>
      </c>
      <c r="G31" s="136">
        <f t="shared" si="5"/>
        <v>1057.7031601915066</v>
      </c>
      <c r="I31" s="48">
        <v>300</v>
      </c>
      <c r="J31" s="48">
        <f t="shared" si="6"/>
        <v>8100</v>
      </c>
    </row>
    <row r="32" spans="1:13" x14ac:dyDescent="0.25">
      <c r="A32" s="48" t="s">
        <v>436</v>
      </c>
    </row>
    <row r="33" spans="1:3" x14ac:dyDescent="0.25">
      <c r="A33" s="48" t="s">
        <v>438</v>
      </c>
    </row>
    <row r="35" spans="1:3" x14ac:dyDescent="0.25">
      <c r="A35" s="57" t="s">
        <v>332</v>
      </c>
      <c r="B35" s="83" t="s">
        <v>98</v>
      </c>
      <c r="C35" s="35" t="s">
        <v>440</v>
      </c>
    </row>
    <row r="36" spans="1:3" x14ac:dyDescent="0.25">
      <c r="A36" s="48">
        <v>1</v>
      </c>
      <c r="B36">
        <v>2015</v>
      </c>
      <c r="C36" s="92">
        <v>150</v>
      </c>
    </row>
    <row r="37" spans="1:3" x14ac:dyDescent="0.25">
      <c r="A37" s="48">
        <f>A36+1</f>
        <v>2</v>
      </c>
      <c r="B37" s="48">
        <f>B36+1</f>
        <v>2016</v>
      </c>
      <c r="C37" s="92">
        <f>C36+C36*$C$4</f>
        <v>154.96671428571429</v>
      </c>
    </row>
    <row r="38" spans="1:3" x14ac:dyDescent="0.25">
      <c r="A38" s="48">
        <f t="shared" ref="A38:A53" si="7">A37+1</f>
        <v>3</v>
      </c>
      <c r="B38" s="48">
        <f t="shared" ref="B38:B52" si="8">B37+1</f>
        <v>2017</v>
      </c>
      <c r="C38" s="92">
        <f t="shared" ref="C38:C53" si="9">C37+C37*$C$4</f>
        <v>160.09788357673469</v>
      </c>
    </row>
    <row r="39" spans="1:3" x14ac:dyDescent="0.25">
      <c r="A39" s="48">
        <f t="shared" si="7"/>
        <v>4</v>
      </c>
      <c r="B39" s="48">
        <f t="shared" si="8"/>
        <v>2018</v>
      </c>
      <c r="C39" s="92">
        <f t="shared" si="9"/>
        <v>165.39895321322263</v>
      </c>
    </row>
    <row r="40" spans="1:3" x14ac:dyDescent="0.25">
      <c r="A40" s="48">
        <f t="shared" si="7"/>
        <v>5</v>
      </c>
      <c r="B40" s="48">
        <f t="shared" si="8"/>
        <v>2019</v>
      </c>
      <c r="C40" s="92">
        <f t="shared" si="9"/>
        <v>170.8755488383313</v>
      </c>
    </row>
    <row r="41" spans="1:3" x14ac:dyDescent="0.25">
      <c r="A41" s="48">
        <f t="shared" si="7"/>
        <v>6</v>
      </c>
      <c r="B41" s="48">
        <f t="shared" si="8"/>
        <v>2020</v>
      </c>
      <c r="C41" s="92">
        <f t="shared" si="9"/>
        <v>176.53348236829535</v>
      </c>
    </row>
    <row r="42" spans="1:3" x14ac:dyDescent="0.25">
      <c r="A42" s="48">
        <f t="shared" si="7"/>
        <v>7</v>
      </c>
      <c r="B42" s="48">
        <f t="shared" si="8"/>
        <v>2021</v>
      </c>
      <c r="C42" s="92">
        <f t="shared" si="9"/>
        <v>182.37875816019871</v>
      </c>
    </row>
    <row r="43" spans="1:3" x14ac:dyDescent="0.25">
      <c r="A43" s="48">
        <f t="shared" si="7"/>
        <v>8</v>
      </c>
      <c r="B43" s="48">
        <f t="shared" si="8"/>
        <v>2022</v>
      </c>
      <c r="C43" s="92">
        <f t="shared" si="9"/>
        <v>188.41757938396597</v>
      </c>
    </row>
    <row r="44" spans="1:3" x14ac:dyDescent="0.25">
      <c r="A44" s="48">
        <f t="shared" si="7"/>
        <v>9</v>
      </c>
      <c r="B44" s="48">
        <f t="shared" si="8"/>
        <v>2023</v>
      </c>
      <c r="C44" s="92">
        <f t="shared" si="9"/>
        <v>194.65635460533963</v>
      </c>
    </row>
    <row r="45" spans="1:3" x14ac:dyDescent="0.25">
      <c r="A45" s="48">
        <f t="shared" si="7"/>
        <v>10</v>
      </c>
      <c r="B45" s="48">
        <f t="shared" si="8"/>
        <v>2024</v>
      </c>
      <c r="C45" s="92">
        <f t="shared" si="9"/>
        <v>201.10170458682902</v>
      </c>
    </row>
    <row r="46" spans="1:3" x14ac:dyDescent="0.25">
      <c r="A46" s="48">
        <f t="shared" si="7"/>
        <v>11</v>
      </c>
      <c r="B46" s="48">
        <f t="shared" si="8"/>
        <v>2025</v>
      </c>
      <c r="C46" s="92">
        <f t="shared" si="9"/>
        <v>207.76046931384835</v>
      </c>
    </row>
    <row r="47" spans="1:3" x14ac:dyDescent="0.25">
      <c r="A47" s="48">
        <f t="shared" si="7"/>
        <v>12</v>
      </c>
      <c r="B47" s="48">
        <f>B46+1</f>
        <v>2026</v>
      </c>
      <c r="C47" s="92">
        <f t="shared" si="9"/>
        <v>214.63971525350033</v>
      </c>
    </row>
    <row r="48" spans="1:3" x14ac:dyDescent="0.25">
      <c r="A48" s="48">
        <f t="shared" si="7"/>
        <v>13</v>
      </c>
      <c r="B48" s="48">
        <f t="shared" si="8"/>
        <v>2027</v>
      </c>
      <c r="C48" s="92">
        <f t="shared" si="9"/>
        <v>221.74674285370838</v>
      </c>
    </row>
    <row r="49" spans="1:3" x14ac:dyDescent="0.25">
      <c r="A49" s="48">
        <f t="shared" si="7"/>
        <v>14</v>
      </c>
      <c r="B49" s="48">
        <f t="shared" si="8"/>
        <v>2028</v>
      </c>
      <c r="C49" s="92">
        <f t="shared" si="9"/>
        <v>229.08909429065588</v>
      </c>
    </row>
    <row r="50" spans="1:3" x14ac:dyDescent="0.25">
      <c r="A50" s="48">
        <f t="shared" si="7"/>
        <v>15</v>
      </c>
      <c r="B50" s="48">
        <f t="shared" si="8"/>
        <v>2029</v>
      </c>
      <c r="C50" s="92">
        <f t="shared" si="9"/>
        <v>236.67456147275419</v>
      </c>
    </row>
    <row r="51" spans="1:3" x14ac:dyDescent="0.25">
      <c r="A51" s="48">
        <f t="shared" si="7"/>
        <v>16</v>
      </c>
      <c r="B51" s="48">
        <f t="shared" si="8"/>
        <v>2030</v>
      </c>
      <c r="C51" s="92">
        <f t="shared" si="9"/>
        <v>244.51119430963348</v>
      </c>
    </row>
    <row r="52" spans="1:3" x14ac:dyDescent="0.25">
      <c r="A52" s="48">
        <f t="shared" si="7"/>
        <v>17</v>
      </c>
      <c r="B52" s="48">
        <f t="shared" si="8"/>
        <v>2031</v>
      </c>
      <c r="C52" s="92">
        <f t="shared" si="9"/>
        <v>252.60730925493161</v>
      </c>
    </row>
    <row r="53" spans="1:3" x14ac:dyDescent="0.25">
      <c r="A53" s="48">
        <f t="shared" si="7"/>
        <v>18</v>
      </c>
      <c r="B53" s="48">
        <f>B52+1</f>
        <v>2032</v>
      </c>
      <c r="C53" s="92">
        <f t="shared" si="9"/>
        <v>260.97149813194704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0856F-054D-4361-82B8-282F30166B3D}">
  <dimension ref="K1:K3"/>
  <sheetViews>
    <sheetView workbookViewId="0"/>
  </sheetViews>
  <sheetFormatPr defaultRowHeight="15" x14ac:dyDescent="0.25"/>
  <sheetData>
    <row r="1" spans="11:11" s="48" customFormat="1" x14ac:dyDescent="0.25"/>
    <row r="2" spans="11:11" x14ac:dyDescent="0.25">
      <c r="K2" t="s">
        <v>243</v>
      </c>
    </row>
    <row r="3" spans="11:11" x14ac:dyDescent="0.25">
      <c r="K3" s="17" t="s">
        <v>534</v>
      </c>
    </row>
  </sheetData>
  <hyperlinks>
    <hyperlink ref="K3" r:id="rId1" xr:uid="{9464AACF-7FB6-473A-A9D8-EB58B332E50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Charts</vt:lpstr>
      <vt:lpstr>Summary</vt:lpstr>
      <vt:lpstr>HoleSize</vt:lpstr>
      <vt:lpstr>Rehab</vt:lpstr>
      <vt:lpstr>Estimates</vt:lpstr>
      <vt:lpstr>True Cost</vt:lpstr>
      <vt:lpstr>Eden Cornwall</vt:lpstr>
      <vt:lpstr>Eden Anglesea</vt:lpstr>
      <vt:lpstr>Damage</vt:lpstr>
      <vt:lpstr>CPI</vt:lpstr>
      <vt:lpstr>Disclaimer</vt:lpstr>
      <vt:lpstr>DOGIT</vt:lpstr>
      <vt:lpstr>Cordell2017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Phil</cp:lastModifiedBy>
  <cp:lastPrinted>2020-04-21T23:12:45Z</cp:lastPrinted>
  <dcterms:created xsi:type="dcterms:W3CDTF">2019-09-15T22:57:03Z</dcterms:created>
  <dcterms:modified xsi:type="dcterms:W3CDTF">2020-04-22T05:12:37Z</dcterms:modified>
</cp:coreProperties>
</file>